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queryTables/queryTable1.xml" ContentType="application/vnd.openxmlformats-officedocument.spreadsheetml.query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DieseArbeitsmappe"/>
  <xr:revisionPtr revIDLastSave="0" documentId="13_ncr:1_{0379D787-C0A9-4FEC-B6FF-0C06E7298A49}" xr6:coauthVersionLast="47" xr6:coauthVersionMax="47" xr10:uidLastSave="{00000000-0000-0000-0000-000000000000}"/>
  <bookViews>
    <workbookView xWindow="-120" yWindow="-120" windowWidth="29040" windowHeight="15840" tabRatio="738" xr2:uid="{00000000-000D-0000-FFFF-FFFF00000000}"/>
  </bookViews>
  <sheets>
    <sheet name="Starting_page" sheetId="22" r:id="rId1"/>
    <sheet name="Process_info" sheetId="25" r:id="rId2"/>
    <sheet name="Finance_info" sheetId="27" r:id="rId3"/>
    <sheet name="Results" sheetId="28" r:id="rId4"/>
    <sheet name="Report" sheetId="30" r:id="rId5"/>
    <sheet name="Translation" sheetId="31" r:id="rId6"/>
    <sheet name="Tabelle1" sheetId="19" state="hidden" r:id="rId7"/>
    <sheet name="COP-subcritical" sheetId="1" state="hidden" r:id="rId8"/>
    <sheet name="COP-transcritical" sheetId="3" state="hidden" r:id="rId9"/>
    <sheet name="refrigerant_ref" sheetId="2" state="hidden" r:id="rId10"/>
    <sheet name="fits_ref" sheetId="9" state="hidden" r:id="rId11"/>
    <sheet name="region_ref" sheetId="15" state="hidden" r:id="rId12"/>
    <sheet name="region_list" sheetId="17" state="hidden" r:id="rId13"/>
    <sheet name="country_ref" sheetId="16" state="hidden" r:id="rId14"/>
    <sheet name="currency_ref" sheetId="18" state="hidden" r:id="rId15"/>
    <sheet name="References" sheetId="14" state="hidden" r:id="rId16"/>
  </sheets>
  <externalReferences>
    <externalReference r:id="rId17"/>
    <externalReference r:id="rId18"/>
    <externalReference r:id="rId19"/>
  </externalReferences>
  <definedNames>
    <definedName name="BackToStartVar" comment="=FileNamewithWorksheetVar&amp;&quot;!A1&quot;">FileNamewithWorksheetVar&amp;"!A1"</definedName>
    <definedName name="CHF2EURO" comment="=INDEX(TableEuroCurrency,VERGLEICH(&quot;CHF&quot;,TableEuroCurrency[targetCurrency],0),10)*1" localSheetId="4">INDEX(TableEuroCurrency[],MATCH("CHF",TableEuroCurrency[targetCurrency],0),10)*1</definedName>
    <definedName name="CHF2EURO" comment="=INDEX(TableEuroCurrency,VERGLEICH(&quot;CHF&quot;,TableEuroCurrency[targetCurrency],0),10)*1">INDEX(TableEuroCurrency[],MATCH("CHF",TableEuroCurrency[targetCurrency],0),10)*1</definedName>
    <definedName name="choice_fuel_de">Starting_page!$Q$12:$Q$14</definedName>
    <definedName name="choice_fuel_en">Starting_page!$P$12:$P$14</definedName>
    <definedName name="choice_fuel_fr">Starting_page!$R$12:$R$14</definedName>
    <definedName name="choice_system_de">Starting_page!$Q$8:$Q$9</definedName>
    <definedName name="choice_system_en">Starting_page!$P$8:$P$9</definedName>
    <definedName name="choice_system_fr">Starting_page!$R$8:$R$9</definedName>
    <definedName name="co2_emission">Finance_info!$U$14</definedName>
    <definedName name="cur2CHF">Starting_page!$Q$10</definedName>
    <definedName name="currency">Starting_page!$O$10</definedName>
    <definedName name="CurrencyExchangeVar">"[IntSGHP_ExcelTool_Fred.xlsx]Main!I42"</definedName>
    <definedName name="CurrencyList" comment="Currency List from the table of the currency" localSheetId="4">TableEuroCurrency[targetCurrency]</definedName>
    <definedName name="CurrencyList" comment="Currency List from the table of the currency">TableEuroCurrency[targetCurrency]</definedName>
    <definedName name="dropDownFilterRegion_elec" comment="select the non empty cells of the table regionfiltertable.                      BEREICH.VERSCHIEBEN(RegionFilterTable,0,0, ANZAHL2(RegionFilterTable)-ANZAHLLEEREZELLEN(RegionFilterTable)+1,1)" localSheetId="4">OFFSET(RegionFilterTable[],0,0,COUNTA(RegionFilterTable[])-COUNTBLANK(RegionFilterTable[]),1)</definedName>
    <definedName name="dropDownFilterRegion_elec" comment="select the non empty cells of the table regionfiltertable.                      BEREICH.VERSCHIEBEN(RegionFilterTable,0,0, ANZAHL2(RegionFilterTable)-ANZAHLLEEREZELLEN(RegionFilterTable)+1,1)">OFFSET(RegionFilterTable[],0,0,COUNTA(RegionFilterTable[])-COUNTBLANK(RegionFilterTable[]),1)</definedName>
    <definedName name="electricity_mix_var" comment="dropDownFilterRegion_elec + n.a." localSheetId="4">Report!dropDownFilterRegion_elec</definedName>
    <definedName name="electricity_mix_var" comment="dropDownFilterRegion_elec + n.a.">dropDownFilterRegion_elec</definedName>
    <definedName name="ExterneDaten_1" localSheetId="14" hidden="1">currency_ref!$A$1:$K$149</definedName>
    <definedName name="FileNameVar" comment="=LINKS(FileNamewithWorksheetVar,FINDEN(&quot;]&quot;,FileNamewithWorksheetVar))">LEFT(FileNamewithWorksheetVar,FIND("]",FileNamewithWorksheetVar))</definedName>
    <definedName name="FileNamewithWorksheetVar" comment="=RECHTS(ZELLE(&quot;dateiname&quot;,Main!A1),LÄNGE(ZELLE(&quot;dateiname&quot;,Main!A1))-FINDEN(&quot;@&quot;,WECHSELN(ZELLE(&quot;dateiname&quot;,Main!A1),&quot;\&quot;,&quot;@&quot;,LÄNGE(ZELLE(&quot;dateiname&quot;,Main!A1))-LÄNGE(WECHSELN(ZELLE(&quot;dateiname&quot;,Main!A1),&quot;\&quot;,&quot;&quot;))),1))">RIGHT(CELL("dateiname",#REF!),LEN(CELL("dateiname",#REF!))-FIND("@",SUBSTITUTE(CELL("dateiname",#REF!),"\","@",LEN(CELL("dateiname",#REF!))-LEN(SUBSTITUTE(CELL("dateiname",#REF!),"\",""))),1))</definedName>
    <definedName name="fuel">Starting_page!$S$12</definedName>
    <definedName name="fuel_en">Starting_page!$S$13</definedName>
    <definedName name="isSteam">NOT(ISBLANK(Process_info!$G$8))</definedName>
    <definedName name="lang">Starting_page!$O$5</definedName>
    <definedName name="languages">Starting_page!$N$2:$N$3</definedName>
    <definedName name="MenuTableVar" comment="Try to use it as a menu" localSheetId="4">MenuTable[menu name]</definedName>
    <definedName name="MenuTableVar" comment="Try to use it as a menu">MenuTable[menu name]</definedName>
    <definedName name="replacing">Starting_page!$S$8</definedName>
    <definedName name="TranslationTable">Tabelle3[]</definedName>
    <definedName name="USD2EUR" comment="=INDEX(TableEuroCurrency,VERGLEICH(&quot;USD&quot;,TableEuroCurrency[targetCurrency],0),10)*1" localSheetId="4">INDEX(TableEuroCurrency[],MATCH("USD",TableEuroCurrency[targetCurrency],0),10)*1</definedName>
    <definedName name="USD2EUR" comment="=INDEX(TableEuroCurrency,VERGLEICH(&quot;USD&quot;,TableEuroCurrency[targetCurrency],0),10)*1">INDEX(TableEuroCurrency[],MATCH("USD",TableEuroCurrency[targetCurrency],0),10)*1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8" i="25" l="1"/>
  <c r="T10" i="25"/>
  <c r="T9" i="25"/>
  <c r="T8" i="25"/>
  <c r="T7" i="25"/>
  <c r="S12" i="22"/>
  <c r="B30" i="31" s="1"/>
  <c r="S8" i="22"/>
  <c r="D52" i="31" s="1"/>
  <c r="C41" i="31" l="1"/>
  <c r="C42" i="31"/>
  <c r="C67" i="31"/>
  <c r="C30" i="31"/>
  <c r="B67" i="31"/>
  <c r="D67" i="31"/>
  <c r="B52" i="31"/>
  <c r="B42" i="31"/>
  <c r="D41" i="31"/>
  <c r="D42" i="31"/>
  <c r="C31" i="31"/>
  <c r="B41" i="31"/>
  <c r="B40" i="31"/>
  <c r="B39" i="31"/>
  <c r="C38" i="31"/>
  <c r="B38" i="31"/>
  <c r="C39" i="31"/>
  <c r="D39" i="31"/>
  <c r="C40" i="31"/>
  <c r="B31" i="31"/>
  <c r="D40" i="31"/>
  <c r="D31" i="31"/>
  <c r="D38" i="31"/>
  <c r="S10" i="28"/>
  <c r="A43" i="30" a="1"/>
  <c r="A43" i="30" s="1"/>
  <c r="B43" i="30" s="1"/>
  <c r="F43" i="30" s="1"/>
  <c r="G28" i="28" a="1"/>
  <c r="G28" i="28" s="1"/>
  <c r="H28" i="28" s="1"/>
  <c r="L28" i="28" s="1"/>
  <c r="G27" i="28" a="1"/>
  <c r="G27" i="28" s="1"/>
  <c r="H27" i="28" s="1"/>
  <c r="L27" i="28" s="1"/>
  <c r="G31" i="27" l="1" a="1"/>
  <c r="G31" i="27" s="1"/>
  <c r="H31" i="27" s="1"/>
  <c r="L31" i="27" s="1"/>
  <c r="G30" i="27" l="1" a="1"/>
  <c r="G30" i="27" s="1"/>
  <c r="H30" i="27" s="1"/>
  <c r="L30" i="27" s="1"/>
  <c r="G28" i="25" l="1" a="1"/>
  <c r="G28" i="25" s="1"/>
  <c r="H28" i="25" s="1"/>
  <c r="L28" i="25" s="1"/>
  <c r="G27" i="25" a="1"/>
  <c r="G27" i="25" s="1"/>
  <c r="I26" i="22" a="1"/>
  <c r="I26" i="22" s="1"/>
  <c r="H27" i="25" l="1"/>
  <c r="L27" i="25" s="1"/>
  <c r="J26" i="22"/>
  <c r="N26" i="22" s="1"/>
  <c r="T11" i="25"/>
  <c r="I10" i="9"/>
  <c r="I13" i="9" s="1"/>
  <c r="A41" i="30"/>
  <c r="T4" i="28" l="1"/>
  <c r="H42" i="30"/>
  <c r="R9" i="27"/>
  <c r="R11" i="27" l="1"/>
  <c r="R16" i="25"/>
  <c r="R15" i="25"/>
  <c r="I11" i="25"/>
  <c r="G11" i="25" s="1"/>
  <c r="O10" i="22"/>
  <c r="O5" i="22"/>
  <c r="R17" i="25" l="1"/>
  <c r="E12" i="22" a="1"/>
  <c r="E12" i="22" s="1"/>
  <c r="E17" i="25" a="1"/>
  <c r="E17" i="25" s="1"/>
  <c r="B36" i="30" a="1"/>
  <c r="B36" i="30" s="1"/>
  <c r="B18" i="30" a="1"/>
  <c r="B18" i="30" s="1"/>
  <c r="B13" i="30" a="1"/>
  <c r="B13" i="30" s="1"/>
  <c r="B3" i="30" a="1"/>
  <c r="B3" i="30" s="1"/>
  <c r="F7" i="25" a="1"/>
  <c r="F7" i="25" s="1"/>
  <c r="A1" i="30" a="1"/>
  <c r="A1" i="30" s="1"/>
  <c r="E5" i="28" a="1"/>
  <c r="E5" i="28" s="1"/>
  <c r="E10" i="27" a="1"/>
  <c r="E10" i="27" s="1"/>
  <c r="E10" i="28" a="1"/>
  <c r="E10" i="28" s="1"/>
  <c r="F4" i="27" a="1"/>
  <c r="F4" i="27" s="1"/>
  <c r="O5" i="28" a="1"/>
  <c r="O5" i="28" s="1"/>
  <c r="B29" i="30" a="1"/>
  <c r="B29" i="30" s="1"/>
  <c r="B27" i="30" a="1"/>
  <c r="B27" i="30" s="1"/>
  <c r="E18" i="25" a="1"/>
  <c r="E18" i="25" s="1"/>
  <c r="E19" i="25" a="1"/>
  <c r="E19" i="25" s="1"/>
  <c r="E6" i="27" a="1"/>
  <c r="E6" i="27" s="1"/>
  <c r="N19" i="27" a="1"/>
  <c r="N19" i="27" s="1"/>
  <c r="O6" i="28" a="1"/>
  <c r="O6" i="28" s="1"/>
  <c r="A1" i="27" a="1"/>
  <c r="A1" i="27" s="1"/>
  <c r="E13" i="27" a="1"/>
  <c r="E13" i="27" s="1"/>
  <c r="B26" i="30" a="1"/>
  <c r="B26" i="30" s="1"/>
  <c r="E15" i="25" a="1"/>
  <c r="E15" i="25" s="1"/>
  <c r="B22" i="30" a="1"/>
  <c r="B22" i="30" s="1"/>
  <c r="B17" i="30" a="1"/>
  <c r="B17" i="30" s="1"/>
  <c r="E5" i="22" a="1"/>
  <c r="E5" i="22" s="1"/>
  <c r="E8" i="27" a="1"/>
  <c r="E8" i="27" s="1"/>
  <c r="E7" i="28" a="1"/>
  <c r="E7" i="28" s="1"/>
  <c r="J8" i="25" a="1"/>
  <c r="J8" i="25" s="1"/>
  <c r="E9" i="27" a="1"/>
  <c r="E9" i="27" s="1"/>
  <c r="N13" i="27" a="1"/>
  <c r="N13" i="27" s="1"/>
  <c r="E16" i="27" a="1"/>
  <c r="E16" i="27" s="1"/>
  <c r="B12" i="30" a="1"/>
  <c r="B12" i="30" s="1"/>
  <c r="B21" i="30" a="1"/>
  <c r="B21" i="30" s="1"/>
  <c r="B15" i="30" a="1"/>
  <c r="B15" i="30" s="1"/>
  <c r="A1" i="22" a="1"/>
  <c r="A1" i="22" s="1"/>
  <c r="E2" i="28" a="1"/>
  <c r="E2" i="28" s="1"/>
  <c r="J9" i="25" a="1"/>
  <c r="J9" i="25" s="1"/>
  <c r="F8" i="25" a="1"/>
  <c r="F8" i="25" s="1"/>
  <c r="E16" i="25" a="1"/>
  <c r="E16" i="25" s="1"/>
  <c r="E19" i="27" a="1"/>
  <c r="E19" i="27" s="1"/>
  <c r="B11" i="30" a="1"/>
  <c r="B11" i="30" s="1"/>
  <c r="B24" i="30" a="1"/>
  <c r="B24" i="30" s="1"/>
  <c r="E8" i="28" a="1"/>
  <c r="E8" i="28" s="1"/>
  <c r="E11" i="28" a="1"/>
  <c r="E11" i="28" s="1"/>
  <c r="A1" i="28" a="1"/>
  <c r="A1" i="28" s="1"/>
  <c r="E5" i="25" a="1"/>
  <c r="E5" i="25" s="1"/>
  <c r="F9" i="25" a="1"/>
  <c r="F9" i="25" s="1"/>
  <c r="E13" i="25" a="1"/>
  <c r="E13" i="25" s="1"/>
  <c r="E23" i="27" a="1"/>
  <c r="E23" i="27" s="1"/>
  <c r="E25" i="27" a="1"/>
  <c r="E25" i="27" s="1"/>
  <c r="B19" i="30" a="1"/>
  <c r="B19" i="30" s="1"/>
  <c r="B14" i="30" a="1"/>
  <c r="B14" i="30" s="1"/>
  <c r="I10" i="22" a="1"/>
  <c r="I10" i="22" s="1"/>
  <c r="E11" i="27" a="1"/>
  <c r="E11" i="27" s="1"/>
  <c r="E6" i="28" a="1"/>
  <c r="E6" i="28" s="1"/>
  <c r="E20" i="27" a="1"/>
  <c r="E20" i="27" s="1"/>
  <c r="E7" i="27" a="1"/>
  <c r="E7" i="27" s="1"/>
  <c r="E21" i="27" a="1"/>
  <c r="E21" i="27" s="1"/>
  <c r="E14" i="27" a="1"/>
  <c r="E14" i="27" s="1"/>
  <c r="E17" i="27" a="1"/>
  <c r="E17" i="27" s="1"/>
  <c r="B28" i="30" a="1"/>
  <c r="B28" i="30" s="1"/>
  <c r="B23" i="30" a="1"/>
  <c r="B23" i="30" s="1"/>
  <c r="A1" i="25" a="1"/>
  <c r="A1" i="25" s="1"/>
  <c r="E2" i="27" a="1"/>
  <c r="E2" i="27" s="1"/>
  <c r="E15" i="27" a="1"/>
  <c r="E15" i="27" s="1"/>
  <c r="E2" i="25" a="1"/>
  <c r="E2" i="25" s="1"/>
  <c r="E22" i="27" a="1"/>
  <c r="E22" i="27" s="1"/>
  <c r="E7" i="22" a="1"/>
  <c r="E7" i="22" s="1"/>
  <c r="J7" i="25" a="1"/>
  <c r="J7" i="25" s="1"/>
  <c r="E2" i="22" a="1"/>
  <c r="E2" i="22" s="1"/>
  <c r="J25" i="28" a="1"/>
  <c r="J25" i="28" s="1"/>
  <c r="D43" i="30" a="1"/>
  <c r="D43" i="30" s="1"/>
  <c r="J28" i="27" a="1"/>
  <c r="J28" i="27" s="1"/>
  <c r="M28" i="27" a="1"/>
  <c r="M28" i="27" s="1"/>
  <c r="M25" i="25" a="1"/>
  <c r="M25" i="25" s="1"/>
  <c r="M24" i="22" a="1"/>
  <c r="M24" i="22" s="1"/>
  <c r="J25" i="25" a="1"/>
  <c r="J25" i="25" s="1"/>
  <c r="M18" i="25"/>
  <c r="S13" i="22" a="1"/>
  <c r="S13" i="22" s="1"/>
  <c r="F23" i="30"/>
  <c r="F13" i="30"/>
  <c r="P10" i="22"/>
  <c r="F26" i="30"/>
  <c r="F24" i="30"/>
  <c r="F14" i="30"/>
  <c r="F22" i="30"/>
  <c r="F27" i="30"/>
  <c r="F28" i="30"/>
  <c r="F17" i="30"/>
  <c r="F18" i="30"/>
  <c r="F29" i="30"/>
  <c r="F12" i="30"/>
  <c r="F15" i="30"/>
  <c r="E26" i="30"/>
  <c r="S6" i="28"/>
  <c r="E28" i="30"/>
  <c r="F19" i="30"/>
  <c r="Q17" i="27"/>
  <c r="O11" i="28"/>
  <c r="O10" i="28"/>
  <c r="N22" i="27"/>
  <c r="N7" i="27"/>
  <c r="Q18" i="27"/>
  <c r="N23" i="27"/>
  <c r="R23" i="27" s="1"/>
  <c r="E23" i="30" s="1"/>
  <c r="N14" i="27"/>
  <c r="N11" i="27"/>
  <c r="N16" i="27"/>
  <c r="Q9" i="27"/>
  <c r="S9" i="27"/>
  <c r="N9" i="27"/>
  <c r="N10" i="27"/>
  <c r="N6" i="27"/>
  <c r="O15" i="25"/>
  <c r="O16" i="25"/>
  <c r="Q10" i="22"/>
  <c r="P11" i="22"/>
  <c r="Q11" i="22"/>
  <c r="T14" i="27" l="1"/>
  <c r="U14" i="27" s="1"/>
  <c r="M8" i="28" s="1"/>
  <c r="C54" i="31" s="1"/>
  <c r="E17" i="30"/>
  <c r="E11" i="25"/>
  <c r="S92" i="15"/>
  <c r="D7" i="3"/>
  <c r="D9" i="3"/>
  <c r="F15" i="9"/>
  <c r="D54" i="31" l="1"/>
  <c r="B54" i="31"/>
  <c r="R21" i="27"/>
  <c r="R17" i="27"/>
  <c r="E14" i="30" s="1"/>
  <c r="R14" i="27"/>
  <c r="E12" i="30" s="1"/>
  <c r="B8" i="30" l="1" a="1"/>
  <c r="B8" i="30" s="1"/>
  <c r="R22" i="27"/>
  <c r="E22" i="30"/>
  <c r="E24" i="30" s="1"/>
  <c r="R16" i="27"/>
  <c r="R15" i="27"/>
  <c r="N6" i="14"/>
  <c r="N7" i="14"/>
  <c r="N8" i="14"/>
  <c r="N5" i="14"/>
  <c r="E18" i="30" l="1"/>
  <c r="M10" i="28"/>
  <c r="E19" i="30" s="1"/>
  <c r="S7" i="28"/>
  <c r="E13" i="30"/>
  <c r="E15" i="30" s="1"/>
  <c r="E27" i="30"/>
  <c r="M11" i="28"/>
  <c r="E29" i="30" s="1"/>
  <c r="C2" i="17" a="1"/>
  <c r="C2" i="17" s="1"/>
  <c r="C3" i="17" a="1"/>
  <c r="C3" i="17" s="1"/>
  <c r="C4" i="17" a="1"/>
  <c r="C4" i="17" s="1"/>
  <c r="C5" i="17" a="1"/>
  <c r="C5" i="17" s="1"/>
  <c r="C6" i="17" a="1"/>
  <c r="C6" i="17" s="1"/>
  <c r="C7" i="17" a="1"/>
  <c r="C7" i="17" s="1"/>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2" i="17" a="1"/>
  <c r="C22"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D2" i="17" a="1"/>
  <c r="D4" i="17" s="1"/>
  <c r="S5" i="28" l="1"/>
  <c r="M5" i="28" s="1"/>
  <c r="S8" i="28"/>
  <c r="S11" i="28" s="1"/>
  <c r="M7" i="28" s="1"/>
  <c r="E4" i="17"/>
  <c r="D40" i="17"/>
  <c r="D32" i="17"/>
  <c r="D24" i="17"/>
  <c r="D16" i="17"/>
  <c r="D8" i="17"/>
  <c r="D35" i="17"/>
  <c r="E35" i="17" s="1"/>
  <c r="D19" i="17"/>
  <c r="D11" i="17"/>
  <c r="D34" i="17"/>
  <c r="D18" i="17"/>
  <c r="E18" i="17" s="1"/>
  <c r="D2" i="17"/>
  <c r="E2" i="17" s="1"/>
  <c r="D41" i="17"/>
  <c r="D33" i="17"/>
  <c r="D25" i="17"/>
  <c r="D17" i="17"/>
  <c r="D9" i="17"/>
  <c r="D39" i="17"/>
  <c r="E39" i="17" s="1"/>
  <c r="D31" i="17"/>
  <c r="D23" i="17"/>
  <c r="D15" i="17"/>
  <c r="D7" i="17"/>
  <c r="D43" i="17"/>
  <c r="E43" i="17" s="1"/>
  <c r="D27" i="17"/>
  <c r="D3" i="17"/>
  <c r="D42" i="17"/>
  <c r="E42" i="17" s="1"/>
  <c r="D26" i="17"/>
  <c r="E26" i="17" s="1"/>
  <c r="D10" i="17"/>
  <c r="D38" i="17"/>
  <c r="D30" i="17"/>
  <c r="D22" i="17"/>
  <c r="E22" i="17" s="1"/>
  <c r="D14" i="17"/>
  <c r="D6" i="17"/>
  <c r="D37" i="17"/>
  <c r="D29" i="17"/>
  <c r="D21" i="17"/>
  <c r="D13" i="17"/>
  <c r="D5" i="17"/>
  <c r="D44" i="17"/>
  <c r="E44" i="17" s="1"/>
  <c r="D36" i="17"/>
  <c r="E36" i="17" s="1"/>
  <c r="D28" i="17"/>
  <c r="D20" i="17"/>
  <c r="D12" i="17"/>
  <c r="M25" i="28" l="1" a="1"/>
  <c r="M25" i="28" s="1"/>
  <c r="S9" i="28"/>
  <c r="M6" i="28" s="1"/>
  <c r="B53" i="31" s="1"/>
  <c r="E41" i="17"/>
  <c r="E38" i="17"/>
  <c r="E37" i="17"/>
  <c r="E40" i="17"/>
  <c r="E30" i="17"/>
  <c r="E29" i="17"/>
  <c r="E21" i="17"/>
  <c r="E12" i="17"/>
  <c r="E10" i="17"/>
  <c r="E32" i="17"/>
  <c r="E24" i="17"/>
  <c r="E31" i="17"/>
  <c r="E23" i="17"/>
  <c r="E15" i="17"/>
  <c r="E7" i="17"/>
  <c r="E14" i="17"/>
  <c r="E28" i="17"/>
  <c r="E27" i="17"/>
  <c r="E11" i="17"/>
  <c r="E34" i="17"/>
  <c r="E20" i="17"/>
  <c r="E19" i="17"/>
  <c r="E3" i="17"/>
  <c r="E33" i="17"/>
  <c r="E25" i="17"/>
  <c r="E17" i="17"/>
  <c r="E6" i="17"/>
  <c r="E13" i="17"/>
  <c r="E5" i="17"/>
  <c r="E9" i="17"/>
  <c r="E16" i="17"/>
  <c r="E8" i="17"/>
  <c r="D7" i="1"/>
  <c r="D8" i="1"/>
  <c r="D9" i="1"/>
  <c r="C53" i="31" l="1"/>
  <c r="D53" i="31"/>
  <c r="F2" i="17"/>
  <c r="F39" i="17" a="1"/>
  <c r="F39" i="17" s="1"/>
  <c r="F11" i="17" a="1"/>
  <c r="F11" i="17" s="1"/>
  <c r="F18" i="17" a="1"/>
  <c r="F18" i="17" s="1"/>
  <c r="F24" i="17" a="1"/>
  <c r="F24" i="17" s="1"/>
  <c r="F37" i="17" a="1"/>
  <c r="F37" i="17" s="1"/>
  <c r="F42" i="17" a="1"/>
  <c r="F42" i="17" s="1"/>
  <c r="F6" i="17" a="1"/>
  <c r="F6" i="17" s="1"/>
  <c r="F12" i="17" a="1"/>
  <c r="F12" i="17" s="1"/>
  <c r="F25" i="17" a="1"/>
  <c r="F25" i="17" s="1"/>
  <c r="F31" i="17" a="1"/>
  <c r="F31" i="17" s="1"/>
  <c r="F38" i="17" a="1"/>
  <c r="F38" i="17" s="1"/>
  <c r="F43" i="17" a="1"/>
  <c r="F43" i="17" s="1"/>
  <c r="F13" i="17" a="1"/>
  <c r="F13" i="17" s="1"/>
  <c r="F19" i="17" a="1"/>
  <c r="F19" i="17" s="1"/>
  <c r="F26" i="17" a="1"/>
  <c r="F26" i="17" s="1"/>
  <c r="F32" i="17" a="1"/>
  <c r="F32" i="17" s="1"/>
  <c r="F44" i="17" a="1"/>
  <c r="F44" i="17" s="1"/>
  <c r="F7" i="17" a="1"/>
  <c r="F7" i="17" s="1"/>
  <c r="F14" i="17" a="1"/>
  <c r="F14" i="17" s="1"/>
  <c r="F20" i="17" a="1"/>
  <c r="F20" i="17" s="1"/>
  <c r="F33" i="17" a="1"/>
  <c r="F33" i="17" s="1"/>
  <c r="F9" i="17" a="1"/>
  <c r="F9" i="17" s="1"/>
  <c r="F15" i="17" a="1"/>
  <c r="F15" i="17" s="1"/>
  <c r="F22" i="17" a="1"/>
  <c r="F22" i="17" s="1"/>
  <c r="F28" i="17" a="1"/>
  <c r="F28" i="17" s="1"/>
  <c r="F35" i="17" a="1"/>
  <c r="F35" i="17" s="1"/>
  <c r="F3" i="17" a="1"/>
  <c r="F3" i="17" s="1"/>
  <c r="F23" i="17" a="1"/>
  <c r="F23" i="17" s="1"/>
  <c r="F36" i="17" a="1"/>
  <c r="F36" i="17" s="1"/>
  <c r="F5" i="17" a="1"/>
  <c r="F5" i="17" s="1"/>
  <c r="F8" i="17" a="1"/>
  <c r="F8" i="17" s="1"/>
  <c r="F21" i="17" a="1"/>
  <c r="F21" i="17" s="1"/>
  <c r="F27" i="17" a="1"/>
  <c r="F27" i="17" s="1"/>
  <c r="F34" i="17" a="1"/>
  <c r="F34" i="17" s="1"/>
  <c r="F40" i="17" a="1"/>
  <c r="F40" i="17" s="1"/>
  <c r="F4" i="17" a="1"/>
  <c r="F4" i="17" s="1"/>
  <c r="F10" i="17" a="1"/>
  <c r="F10" i="17" s="1"/>
  <c r="F16" i="17" a="1"/>
  <c r="F16" i="17" s="1"/>
  <c r="F29" i="17" a="1"/>
  <c r="F29" i="17" s="1"/>
  <c r="F41" i="17" a="1"/>
  <c r="F41" i="17" s="1"/>
  <c r="F17" i="17" a="1"/>
  <c r="F17" i="17" s="1"/>
  <c r="F30" i="17" a="1"/>
  <c r="F30" i="17" s="1"/>
  <c r="B5" i="30" l="1" a="1"/>
  <c r="B5" i="30" s="1"/>
  <c r="I4" i="17"/>
  <c r="I5" i="17"/>
  <c r="W92" i="15"/>
  <c r="X92" i="15" s="1"/>
  <c r="W91" i="15"/>
  <c r="AB113" i="15"/>
  <c r="AC113" i="15" s="1"/>
  <c r="X91" i="15" l="1"/>
  <c r="X93" i="15" s="1"/>
  <c r="W93" i="15"/>
  <c r="I6" i="17"/>
  <c r="AB101" i="15" l="1"/>
  <c r="AC101" i="15"/>
  <c r="AA101" i="15"/>
  <c r="AA92" i="15"/>
  <c r="AB92" i="15" s="1"/>
  <c r="S93" i="15" l="1"/>
  <c r="S94" i="15"/>
  <c r="S95" i="15"/>
  <c r="S96" i="15"/>
  <c r="S97" i="15"/>
  <c r="D13" i="1" l="1"/>
  <c r="O15" i="1"/>
  <c r="D8" i="3" l="1"/>
  <c r="D6" i="3"/>
  <c r="D6" i="1"/>
  <c r="D12" i="1"/>
  <c r="G6" i="3"/>
  <c r="F7" i="3"/>
  <c r="K16" i="1"/>
  <c r="K17" i="3"/>
  <c r="F18" i="1"/>
  <c r="O11" i="1"/>
  <c r="K15" i="1"/>
  <c r="D26" i="3" l="1"/>
  <c r="D13" i="3"/>
  <c r="D12" i="3"/>
  <c r="F18" i="3"/>
  <c r="K21" i="1"/>
  <c r="Q17" i="1"/>
  <c r="O11" i="3"/>
  <c r="N21" i="1"/>
  <c r="K17" i="1"/>
  <c r="K3" i="3"/>
  <c r="D26" i="1" l="1"/>
  <c r="F16" i="9"/>
  <c r="F13" i="9"/>
  <c r="F31" i="9"/>
  <c r="E31" i="9"/>
  <c r="C31" i="9"/>
  <c r="F30" i="9"/>
  <c r="E30" i="9"/>
  <c r="C30" i="9"/>
  <c r="F29" i="9"/>
  <c r="E29" i="9"/>
  <c r="C29" i="9"/>
  <c r="F28" i="9"/>
  <c r="E28" i="9"/>
  <c r="C28" i="9"/>
  <c r="F27" i="9"/>
  <c r="E27" i="9"/>
  <c r="C27" i="9"/>
  <c r="F26" i="9"/>
  <c r="E26" i="9"/>
  <c r="C26" i="9"/>
  <c r="F25" i="9"/>
  <c r="E25" i="9"/>
  <c r="C25" i="9"/>
  <c r="F24" i="9"/>
  <c r="E24" i="9"/>
  <c r="C24" i="9"/>
  <c r="F23" i="9"/>
  <c r="E23" i="9"/>
  <c r="C23" i="9"/>
  <c r="F22" i="9"/>
  <c r="E22" i="9"/>
  <c r="C22" i="9"/>
  <c r="F21" i="9"/>
  <c r="E21" i="9"/>
  <c r="C21" i="9"/>
  <c r="F20" i="9"/>
  <c r="E20" i="9"/>
  <c r="C20" i="9"/>
  <c r="F19" i="9"/>
  <c r="E19" i="9"/>
  <c r="C19" i="9"/>
  <c r="F18" i="9"/>
  <c r="E18" i="9"/>
  <c r="C18" i="9"/>
  <c r="F17" i="9"/>
  <c r="E17" i="9"/>
  <c r="C17" i="9"/>
  <c r="E16" i="9"/>
  <c r="C16" i="9"/>
  <c r="E15" i="9"/>
  <c r="C15" i="9"/>
  <c r="F14" i="9"/>
  <c r="E14" i="9"/>
  <c r="C14" i="9"/>
  <c r="E13" i="9"/>
  <c r="C13" i="9"/>
  <c r="O15" i="3"/>
  <c r="K16" i="3"/>
  <c r="I31" i="9" l="1"/>
  <c r="I15" i="9"/>
  <c r="D28" i="1"/>
  <c r="D31" i="1"/>
  <c r="D35" i="1"/>
  <c r="D34" i="1"/>
  <c r="D29" i="1"/>
  <c r="D30" i="1"/>
  <c r="I18" i="9"/>
  <c r="I22" i="9"/>
  <c r="I26" i="9"/>
  <c r="I30" i="9"/>
  <c r="I14" i="9"/>
  <c r="I16" i="9"/>
  <c r="I20" i="9"/>
  <c r="I24" i="9"/>
  <c r="I28" i="9"/>
  <c r="I17" i="9"/>
  <c r="I19" i="9"/>
  <c r="I21" i="9"/>
  <c r="I23" i="9"/>
  <c r="I25" i="9"/>
  <c r="I27" i="9"/>
  <c r="I29" i="9"/>
  <c r="Q17" i="3"/>
  <c r="D32" i="1" l="1"/>
  <c r="E28" i="1" s="1"/>
  <c r="E30" i="1" l="1"/>
  <c r="E31" i="1"/>
  <c r="E29" i="1"/>
  <c r="U18" i="3" l="1"/>
  <c r="R21" i="3"/>
  <c r="N17" i="3"/>
  <c r="N17" i="1"/>
  <c r="F6" i="1"/>
  <c r="F6" i="3"/>
  <c r="F7" i="1"/>
  <c r="D21" i="1" l="1"/>
  <c r="V18" i="3"/>
  <c r="K18" i="1"/>
  <c r="K20" i="1" l="1"/>
  <c r="D17" i="1" s="1"/>
  <c r="N18" i="1"/>
  <c r="K22" i="1"/>
  <c r="D20" i="1"/>
  <c r="Q18" i="1"/>
  <c r="W18" i="3"/>
  <c r="N22" i="1"/>
  <c r="Q22" i="1"/>
  <c r="X18" i="3" l="1"/>
  <c r="N20" i="1"/>
  <c r="Y18" i="3"/>
  <c r="Z18" i="3" l="1"/>
  <c r="V20" i="3" s="1"/>
  <c r="O16" i="1"/>
  <c r="Q20" i="1"/>
  <c r="W20" i="3"/>
  <c r="D18" i="1" l="1"/>
  <c r="D19" i="1"/>
  <c r="X20" i="3"/>
  <c r="Y20" i="3"/>
  <c r="Z20" i="3" l="1"/>
  <c r="V21" i="3" s="1"/>
  <c r="W21" i="3"/>
  <c r="X21" i="3" l="1"/>
  <c r="Y21" i="3"/>
  <c r="Z21" i="3" l="1"/>
  <c r="V22" i="3" s="1"/>
  <c r="W22" i="3"/>
  <c r="X22" i="3" l="1"/>
  <c r="Y22" i="3"/>
  <c r="Z22" i="3" l="1"/>
  <c r="V23" i="3" s="1"/>
  <c r="W23" i="3"/>
  <c r="X23" i="3" l="1"/>
  <c r="Y23" i="3"/>
  <c r="Z23" i="3" l="1"/>
  <c r="V24" i="3" s="1"/>
  <c r="W24" i="3"/>
  <c r="X24" i="3" l="1"/>
  <c r="Y24" i="3"/>
  <c r="Z24" i="3" l="1"/>
  <c r="V25" i="3" s="1"/>
  <c r="W25" i="3"/>
  <c r="X25" i="3" l="1"/>
  <c r="Y25" i="3"/>
  <c r="Z25" i="3" l="1"/>
  <c r="V26" i="3" s="1"/>
  <c r="W26" i="3"/>
  <c r="X26" i="3" l="1"/>
  <c r="Y26" i="3"/>
  <c r="Z26" i="3" l="1"/>
  <c r="V27" i="3" s="1"/>
  <c r="W27" i="3"/>
  <c r="X27" i="3" l="1"/>
  <c r="Y27" i="3"/>
  <c r="Z27" i="3" l="1"/>
  <c r="V28" i="3" s="1"/>
  <c r="W28" i="3"/>
  <c r="X28" i="3" l="1"/>
  <c r="Y28" i="3"/>
  <c r="Z28" i="3" l="1"/>
  <c r="V29" i="3" s="1"/>
  <c r="W29" i="3"/>
  <c r="X29" i="3" l="1"/>
  <c r="Y29" i="3"/>
  <c r="Z29" i="3" l="1"/>
  <c r="V30" i="3" s="1"/>
  <c r="W30" i="3"/>
  <c r="X30" i="3" l="1"/>
  <c r="Y30" i="3"/>
  <c r="Z30" i="3" l="1"/>
  <c r="V31" i="3" s="1"/>
  <c r="W31" i="3"/>
  <c r="X31" i="3" l="1"/>
  <c r="Y31" i="3"/>
  <c r="Z31" i="3" l="1"/>
  <c r="V32" i="3" s="1"/>
  <c r="W32" i="3"/>
  <c r="X32" i="3" l="1"/>
  <c r="Y32" i="3"/>
  <c r="Z32" i="3" l="1"/>
  <c r="V33" i="3" s="1"/>
  <c r="W33" i="3"/>
  <c r="X33" i="3" l="1"/>
  <c r="Y33" i="3"/>
  <c r="Z33" i="3" l="1"/>
  <c r="V34" i="3" s="1"/>
  <c r="W34" i="3"/>
  <c r="X34" i="3" l="1"/>
  <c r="Y34" i="3"/>
  <c r="Z34" i="3" l="1"/>
  <c r="V35" i="3" s="1"/>
  <c r="W35" i="3"/>
  <c r="X35" i="3" l="1"/>
  <c r="Y35" i="3"/>
  <c r="Z35" i="3" l="1"/>
  <c r="V36" i="3" s="1"/>
  <c r="W36" i="3"/>
  <c r="X36" i="3" l="1"/>
  <c r="Y36" i="3"/>
  <c r="Z36" i="3" l="1"/>
  <c r="V37" i="3" s="1"/>
  <c r="W37" i="3"/>
  <c r="X37" i="3" l="1"/>
  <c r="Y37" i="3"/>
  <c r="Z37" i="3" l="1"/>
  <c r="V38" i="3" s="1"/>
  <c r="W38" i="3"/>
  <c r="K15" i="3" l="1"/>
  <c r="X38" i="3"/>
  <c r="Y38" i="3"/>
  <c r="K20" i="3"/>
  <c r="D21" i="3" l="1"/>
  <c r="D20" i="3"/>
  <c r="Z38" i="3"/>
  <c r="K21" i="3"/>
  <c r="K18" i="3"/>
  <c r="Q21" i="3"/>
  <c r="N18" i="3"/>
  <c r="N21" i="3"/>
  <c r="N20" i="3"/>
  <c r="D17" i="3" l="1"/>
  <c r="O16" i="3"/>
  <c r="D18" i="3" s="1"/>
  <c r="Q18" i="3"/>
  <c r="D29" i="3" l="1"/>
  <c r="D34" i="3"/>
  <c r="D31" i="3"/>
  <c r="D35" i="3"/>
  <c r="D30" i="3"/>
  <c r="D28" i="3"/>
  <c r="D19" i="3"/>
  <c r="D32" i="3" l="1"/>
  <c r="E28" i="3" l="1"/>
  <c r="E29" i="3"/>
  <c r="E31" i="3"/>
  <c r="E3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8" authorId="0" shapeId="0" xr:uid="{4112789A-C2D0-4B9C-995C-1E1ED065C391}">
      <text>
        <r>
          <rPr>
            <b/>
            <sz val="9"/>
            <color indexed="81"/>
            <rFont val="Segoe UI"/>
            <family val="2"/>
          </rPr>
          <t>Autor:</t>
        </r>
        <r>
          <rPr>
            <sz val="9"/>
            <color indexed="81"/>
            <rFont val="Segoe UI"/>
            <family val="2"/>
          </rPr>
          <t xml:space="preserve">
add steam/hours if power is given as info.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96E6B00-AFA1-4BA9-9760-CCFD443E4467}" keepAlive="1" name="Abfrage - eur" description="Verbindung mit der Abfrage 'eur' in der Arbeitsmappe." type="5" refreshedVersion="6" background="1" saveData="1">
    <dbPr connection="Provider=Microsoft.Mashup.OleDb.1;Data Source=$Workbook$;Location=eur;Extended Properties=&quot;&quot;" command="SELECT * FROM [eur]"/>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<sst xmlns="http://schemas.openxmlformats.org/spreadsheetml/2006/main" count="3092" uniqueCount="2240">
  <si>
    <t>Choose your refrigerant:</t>
  </si>
  <si>
    <t>refrigerant</t>
  </si>
  <si>
    <t>R1233zd(E)</t>
  </si>
  <si>
    <t>R1234yf</t>
  </si>
  <si>
    <t>R1234ze(E)</t>
  </si>
  <si>
    <t>R1234ze(Z)</t>
  </si>
  <si>
    <t>R245fa</t>
  </si>
  <si>
    <t>Butane</t>
  </si>
  <si>
    <t>Ammonia</t>
  </si>
  <si>
    <t>°C</t>
  </si>
  <si>
    <t>%</t>
  </si>
  <si>
    <t>kg/s</t>
  </si>
  <si>
    <t>Results:</t>
  </si>
  <si>
    <t>kW</t>
  </si>
  <si>
    <t>Heating capacity:</t>
  </si>
  <si>
    <t>Pressure ratio:</t>
  </si>
  <si>
    <t>Plow</t>
  </si>
  <si>
    <t>Phigh</t>
  </si>
  <si>
    <t>SI with C</t>
  </si>
  <si>
    <t>state 1</t>
  </si>
  <si>
    <t>state 2'</t>
  </si>
  <si>
    <t>state 3</t>
  </si>
  <si>
    <t>state 4</t>
  </si>
  <si>
    <t>h</t>
  </si>
  <si>
    <t>s</t>
  </si>
  <si>
    <t>t</t>
  </si>
  <si>
    <t>x</t>
  </si>
  <si>
    <t>Simple calculation:</t>
  </si>
  <si>
    <t>Simple COP calculation</t>
  </si>
  <si>
    <t>does not work for transcritical cycle</t>
  </si>
  <si>
    <t>source temperature:</t>
  </si>
  <si>
    <t>compressor efficiency:</t>
  </si>
  <si>
    <t>water mass flow sink:</t>
  </si>
  <si>
    <t>COP:</t>
  </si>
  <si>
    <t>-</t>
  </si>
  <si>
    <t>Pa</t>
  </si>
  <si>
    <t>J/kg</t>
  </si>
  <si>
    <t>CarbonDioxide</t>
  </si>
  <si>
    <t>IsoButane</t>
  </si>
  <si>
    <t>Pentane</t>
  </si>
  <si>
    <t>i</t>
  </si>
  <si>
    <t>H'</t>
  </si>
  <si>
    <t>H</t>
  </si>
  <si>
    <t>T</t>
  </si>
  <si>
    <t>Pnew</t>
  </si>
  <si>
    <t>Twish</t>
  </si>
  <si>
    <t>High Pressure:</t>
  </si>
  <si>
    <t>bar</t>
  </si>
  <si>
    <t>K</t>
  </si>
  <si>
    <t>state 2</t>
  </si>
  <si>
    <t>COP Fit Curves</t>
  </si>
  <si>
    <t>Arpagaus et al. (2018)</t>
  </si>
  <si>
    <t>Schlosser et al. (2020)</t>
  </si>
  <si>
    <t>Jesper et al. (2021)</t>
  </si>
  <si>
    <t>Several manufacturers of IHPs</t>
  </si>
  <si>
    <t>Water/steam-VHTHPs</t>
  </si>
  <si>
    <t>Water/Water-VHTHPs</t>
  </si>
  <si>
    <t>VHTHPs</t>
  </si>
  <si>
    <t>COP = A x dT_Lift^B</t>
  </si>
  <si>
    <t>COP = a x (dT_Lift + 2 x b)^c x (T_h_out + b)^d</t>
  </si>
  <si>
    <t>COP = a x (dT_Lift + 2 x T_dr)^b x (T_h_out + T_dr)^c</t>
  </si>
  <si>
    <t>Kobelco SGH120</t>
  </si>
  <si>
    <t>Kobelco SGH165</t>
  </si>
  <si>
    <t>A</t>
  </si>
  <si>
    <t>a</t>
  </si>
  <si>
    <t>dT_Lift</t>
  </si>
  <si>
    <t>COP</t>
  </si>
  <si>
    <t>B</t>
  </si>
  <si>
    <t>b</t>
  </si>
  <si>
    <t>c</t>
  </si>
  <si>
    <t>d</t>
  </si>
  <si>
    <t>T_dr</t>
  </si>
  <si>
    <t>T_h_out [K]</t>
  </si>
  <si>
    <t>T_h_out [°C]</t>
  </si>
  <si>
    <t>fits</t>
  </si>
  <si>
    <t>Schlosser et al. (2020) [for steam]</t>
  </si>
  <si>
    <t>Schlosser et al. (2020) [for water]</t>
  </si>
  <si>
    <t>COP from different fits</t>
  </si>
  <si>
    <t>Arpagaus et al. (2018):</t>
  </si>
  <si>
    <t>Schlosser et al. (2020) [for steam]:</t>
  </si>
  <si>
    <t>Schlosser et al. (2020) [for water]:</t>
  </si>
  <si>
    <t>Jesper et al. (2021):</t>
  </si>
  <si>
    <t>Kobelco SGH120:</t>
  </si>
  <si>
    <t>Kobelco SGH165:</t>
  </si>
  <si>
    <t>COP Average:</t>
  </si>
  <si>
    <t>Delta temperature [K]:</t>
  </si>
  <si>
    <t>C</t>
  </si>
  <si>
    <t>(J/kg)/K</t>
  </si>
  <si>
    <t>Calculated with log mean for the high temperature</t>
  </si>
  <si>
    <t>Benzene</t>
  </si>
  <si>
    <t>Thermodynamic analysis</t>
  </si>
  <si>
    <t>overheating:</t>
  </si>
  <si>
    <t>temperature overheating:</t>
  </si>
  <si>
    <t>temperature subcooling:</t>
  </si>
  <si>
    <t>subcooling:</t>
  </si>
  <si>
    <t>sink inlet:</t>
  </si>
  <si>
    <t>sink outlet</t>
  </si>
  <si>
    <t>sink outlet temperature:</t>
  </si>
  <si>
    <t>sink inlet temperature:</t>
  </si>
  <si>
    <t>Name</t>
  </si>
  <si>
    <t>Link</t>
  </si>
  <si>
    <t>Fits</t>
  </si>
  <si>
    <t>Reference code</t>
  </si>
  <si>
    <t>Cooling capacity:</t>
  </si>
  <si>
    <t>Cooling capacity;</t>
  </si>
  <si>
    <t>Q_sink:</t>
  </si>
  <si>
    <t>M_dot:</t>
  </si>
  <si>
    <t>region</t>
  </si>
  <si>
    <t>CO2</t>
  </si>
  <si>
    <t>https://www.energy.gov/eere/femp/purchasing-energy-efficient-large-commercial-boilers</t>
  </si>
  <si>
    <t>US. Office of Energy Efficiency &amp; Renewable Energy</t>
  </si>
  <si>
    <t>Date</t>
  </si>
  <si>
    <t>efficiency</t>
  </si>
  <si>
    <t>CH renewable mix</t>
  </si>
  <si>
    <t>CH producer mix</t>
  </si>
  <si>
    <t>CH delivery mix</t>
  </si>
  <si>
    <t>CH consummer mix</t>
  </si>
  <si>
    <t>https://www.bafu.admin.ch/bafu/en/home/topics/climate/questions-answers.html#2097182073</t>
  </si>
  <si>
    <t>Umweltbilanz Strommixe Schweiz 2018</t>
  </si>
  <si>
    <t>kg/kWh</t>
  </si>
  <si>
    <t>wolframalpha</t>
  </si>
  <si>
    <t>google</t>
  </si>
  <si>
    <t>natural gas co2 from combustion</t>
  </si>
  <si>
    <t>lb/106 scf</t>
  </si>
  <si>
    <t>kg/scm</t>
  </si>
  <si>
    <t>CO2 emission electricity [kg/kWh]</t>
  </si>
  <si>
    <t>CO2 emission gas [kg/kWh]</t>
  </si>
  <si>
    <t>CO2 emission distillate oil [kg/kWh]</t>
  </si>
  <si>
    <t>ton CO2/MMBtu</t>
  </si>
  <si>
    <t>lbs CO2/MMBtu</t>
  </si>
  <si>
    <t>source:</t>
  </si>
  <si>
    <t xml:space="preserve">Table of Contents </t>
  </si>
  <si>
    <t>for</t>
  </si>
  <si>
    <t>eGRID2012_Data.xls</t>
  </si>
  <si>
    <t>eGRID2012 Boiler, Generator, Plant, State, PCA, eGRID Subregion, NERC Region, U.S., and Grid Gross Loss (%) Data Files</t>
  </si>
  <si>
    <t>kg CO2/kWh</t>
  </si>
  <si>
    <t>average emission from 5544 boiler data:</t>
  </si>
  <si>
    <t>FR electricity mix</t>
  </si>
  <si>
    <t>IT</t>
  </si>
  <si>
    <t>IT electricity mix</t>
  </si>
  <si>
    <t>DE electricity mix</t>
  </si>
  <si>
    <t>Austria</t>
  </si>
  <si>
    <t>Belgium</t>
  </si>
  <si>
    <t>Bulgaria</t>
  </si>
  <si>
    <t>Croatia</t>
  </si>
  <si>
    <t>Cyprus</t>
  </si>
  <si>
    <t>Czechia</t>
  </si>
  <si>
    <t>Denmark</t>
  </si>
  <si>
    <t>Estonia</t>
  </si>
  <si>
    <t>Finland</t>
  </si>
  <si>
    <t>France</t>
  </si>
  <si>
    <t>Germany</t>
  </si>
  <si>
    <t>Greece</t>
  </si>
  <si>
    <t>Hungary</t>
  </si>
  <si>
    <t>Iceland</t>
  </si>
  <si>
    <t>Ireland</t>
  </si>
  <si>
    <t>Italy</t>
  </si>
  <si>
    <t>Latvia</t>
  </si>
  <si>
    <t>Lithuania</t>
  </si>
  <si>
    <t>Luxembourg</t>
  </si>
  <si>
    <t>Malta</t>
  </si>
  <si>
    <t>Netherlands</t>
  </si>
  <si>
    <t>Norway</t>
  </si>
  <si>
    <t>Poland</t>
  </si>
  <si>
    <t>Portugal</t>
  </si>
  <si>
    <t>Romania</t>
  </si>
  <si>
    <t>Slovakia</t>
  </si>
  <si>
    <t>Slovenia</t>
  </si>
  <si>
    <t>Spain</t>
  </si>
  <si>
    <t>Sweden</t>
  </si>
  <si>
    <t>EEA Greenhouse gas emission intensity of elec…</t>
  </si>
  <si>
    <t>https://www.eea.europa.eu/data-and-maps/daviz/co2-emission-intensity-9/#tab-googlechartid_googlechartid_googlechartid_chart_1111</t>
  </si>
  <si>
    <t>MIT Units &amp; Conversion Fact Sheet</t>
  </si>
  <si>
    <t>https://cngcenter.com/wp-content/uploads/2013/09/UnitsAndConversions.pdf</t>
  </si>
  <si>
    <t>Purpose</t>
  </si>
  <si>
    <t>COP fit</t>
  </si>
  <si>
    <t>boiler efficiency</t>
  </si>
  <si>
    <t>electricity CO2 emission</t>
  </si>
  <si>
    <t>fuel combustion emission</t>
  </si>
  <si>
    <t>https://www.epa.gov/sites/default/files/2015-12/documents/iciboilers.pdf</t>
  </si>
  <si>
    <t>EPA- Available and Emerging Technologies for Reducing …</t>
  </si>
  <si>
    <t>EPA Data - egrid2019_data.xlsx</t>
  </si>
  <si>
    <t>https://www.epa.gov/egrid/download-data</t>
  </si>
  <si>
    <t>U.S. annual CO2 oil output emission rate (lb/MWh)</t>
  </si>
  <si>
    <t>U.S. annual CO2 gas output emission rate (lb/MWh)</t>
  </si>
  <si>
    <t>U.S. annual CO2 fossil fuel output emission rate (lb/MWh)</t>
  </si>
  <si>
    <t>USOCO2RT</t>
  </si>
  <si>
    <t>USGCO2RT</t>
  </si>
  <si>
    <t>USFSC2RT</t>
  </si>
  <si>
    <t>lb/MWh</t>
  </si>
  <si>
    <t>eGRID_Data.xls</t>
  </si>
  <si>
    <t>eGRID2019 Unit, Generator, Plant, State, Balancing Authority Area, eGRID Subregion, NERC Region, U.S., and Grid Gross Loss (%) Data Files</t>
  </si>
  <si>
    <t>average emission from 21606 boiler data:</t>
  </si>
  <si>
    <t>Code Value</t>
  </si>
  <si>
    <t>AF</t>
  </si>
  <si>
    <t>Afghanistan</t>
  </si>
  <si>
    <t>AX</t>
  </si>
  <si>
    <t>Aland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</si>
  <si>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</si>
  <si>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</si>
  <si>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</si>
  <si>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</si>
  <si>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</si>
  <si>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</si>
  <si>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</si>
  <si>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</si>
  <si>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</si>
  <si>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</si>
  <si>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</si>
  <si>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</si>
  <si>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</si>
  <si>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</si>
  <si>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</si>
  <si>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</si>
  <si>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</si>
  <si>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</si>
  <si>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</si>
  <si>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</si>
  <si>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</si>
  <si>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</si>
  <si>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</si>
  <si>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</si>
  <si>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</si>
  <si>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</si>
  <si>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</si>
  <si>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</si>
  <si>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</si>
  <si>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</si>
  <si>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</si>
  <si>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</si>
  <si>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</si>
  <si>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</si>
  <si>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</si>
  <si>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</si>
  <si>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</si>
  <si>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</si>
  <si>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</si>
  <si>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</si>
  <si>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</si>
  <si>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</si>
  <si>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</si>
  <si>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</si>
  <si>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</si>
  <si>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</si>
  <si>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</si>
  <si>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</si>
  <si>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</si>
  <si>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</si>
  <si>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</si>
  <si>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</si>
  <si>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</si>
  <si>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</si>
  <si>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</si>
  <si>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</si>
  <si>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</si>
  <si>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</si>
  <si>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</si>
  <si>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</si>
  <si>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</si>
  <si>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</si>
  <si>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</si>
  <si>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BF</t>
  </si>
  <si>
    <t>Burkina Faso</t>
  </si>
  <si>
    <t>BI</t>
  </si>
  <si>
    <t>Burundi</t>
  </si>
  <si>
    <t>KH</t>
  </si>
  <si>
    <t>Cambodia</t>
  </si>
  <si>
    <t>CM</t>
  </si>
  <si>
    <t>Cameroon</t>
  </si>
  <si>
    <t>CA</t>
  </si>
  <si>
    <t>Canada</t>
  </si>
  <si>
    <t>CV</t>
  </si>
  <si>
    <t>Cape Verde</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</si>
  <si>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</si>
  <si>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</si>
  <si>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</si>
  <si>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</si>
  <si>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</si>
  <si>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</si>
  <si>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</si>
  <si>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</si>
  <si>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</si>
  <si>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</si>
  <si>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</si>
  <si>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</si>
  <si>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</si>
  <si>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</si>
  <si>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</si>
  <si>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</si>
  <si>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</si>
  <si>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</si>
  <si>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</si>
  <si>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</si>
  <si>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</si>
  <si>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 xml:space="preserve">Congo, The Democratic Republic of </t>
  </si>
  <si>
    <t>CK</t>
  </si>
  <si>
    <t>Cook Islands</t>
  </si>
  <si>
    <t>CR</t>
  </si>
  <si>
    <t>Costa Rica</t>
  </si>
  <si>
    <t>CI</t>
  </si>
  <si>
    <t>Cote d'Ivoire</t>
  </si>
  <si>
    <t>HR</t>
  </si>
  <si>
    <t>CU</t>
  </si>
  <si>
    <t>Cuba</t>
  </si>
  <si>
    <t>CW</t>
  </si>
  <si>
    <t>Curaçao</t>
  </si>
  <si>
    <t>CY</t>
  </si>
  <si>
    <t>CZ</t>
  </si>
  <si>
    <t>DK</t>
  </si>
  <si>
    <t>DJ</t>
  </si>
  <si>
    <t>Djibouti</t>
  </si>
  <si>
    <t>DM</t>
  </si>
  <si>
    <t>Dominica</t>
  </si>
  <si>
    <t>DO</t>
  </si>
  <si>
    <t>Dominican Republic</t>
  </si>
  <si>
    <t>EC</t>
  </si>
  <si>
    <t>Ecuador</t>
  </si>
  <si>
    <t>EG</t>
  </si>
  <si>
    <t>Egypt</t>
  </si>
  <si>
    <t>SV</t>
  </si>
  <si>
    <t>El Salvador</t>
  </si>
  <si>
    <t>GQ</t>
  </si>
  <si>
    <t>Equatorial Guinea</t>
  </si>
  <si>
    <t>ER</t>
  </si>
  <si>
    <t>Eritrea</t>
  </si>
  <si>
    <t>EE</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</si>
  <si>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</si>
  <si>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</si>
  <si>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</si>
  <si>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</si>
  <si>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</si>
  <si>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</si>
  <si>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</si>
  <si>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</si>
  <si>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</si>
  <si>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</si>
  <si>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</si>
  <si>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</si>
  <si>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</si>
  <si>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</si>
  <si>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</si>
  <si>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</si>
  <si>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</si>
  <si>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</si>
  <si>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</si>
  <si>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</si>
  <si>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</si>
  <si>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</si>
  <si>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</si>
  <si>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</si>
  <si>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</si>
  <si>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</si>
  <si>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</si>
  <si>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</si>
  <si>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</si>
  <si>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</si>
  <si>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</si>
  <si>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</si>
  <si>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</si>
  <si>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</si>
  <si>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</si>
  <si>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</si>
  <si>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</si>
  <si>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</si>
  <si>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</si>
  <si>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</si>
  <si>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</si>
  <si>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</si>
  <si>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</si>
  <si>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</si>
  <si>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</si>
  <si>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</si>
  <si>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</si>
  <si>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</si>
  <si>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</si>
  <si>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and Mc Donald Islands</t>
  </si>
  <si>
    <t>VA</t>
  </si>
  <si>
    <t>Holy See (Vatican City State)</t>
  </si>
  <si>
    <t>HN</t>
  </si>
  <si>
    <t>Honduras</t>
  </si>
  <si>
    <t>HK</t>
  </si>
  <si>
    <t>Hong Kong</t>
  </si>
  <si>
    <t>HU</t>
  </si>
  <si>
    <t>IS</t>
  </si>
  <si>
    <t>IN</t>
  </si>
  <si>
    <t>India</t>
  </si>
  <si>
    <t>ID</t>
  </si>
  <si>
    <t>Indonesia</t>
  </si>
  <si>
    <t>IR</t>
  </si>
  <si>
    <t>Iran, Islamic Republic of</t>
  </si>
  <si>
    <t>IQ</t>
  </si>
  <si>
    <t>Iraq</t>
  </si>
  <si>
    <t>IE</t>
  </si>
  <si>
    <t>IM</t>
  </si>
  <si>
    <t>Isle of Man</t>
  </si>
  <si>
    <t>IL</t>
  </si>
  <si>
    <t>Israel</t>
  </si>
  <si>
    <t>JM</t>
  </si>
  <si>
    <t>Jamaica</t>
  </si>
  <si>
    <t>JP</t>
  </si>
  <si>
    <t>Japan</t>
  </si>
  <si>
    <t>JE</t>
  </si>
  <si>
    <t>Jersey</t>
  </si>
  <si>
    <t>JO</t>
  </si>
  <si>
    <t>Jordan</t>
  </si>
  <si>
    <t>KZ</t>
  </si>
  <si>
    <t>Kazakstan</t>
  </si>
  <si>
    <t>KE</t>
  </si>
  <si>
    <t>Kenya</t>
  </si>
  <si>
    <t>KI</t>
  </si>
  <si>
    <t>Kiribati</t>
  </si>
  <si>
    <t>KP</t>
  </si>
  <si>
    <t>Korea, Democratic People's Republic of</t>
  </si>
  <si>
    <t>KR</t>
  </si>
  <si>
    <t>Korea, Republic of</t>
  </si>
  <si>
    <t>XK</t>
  </si>
  <si>
    <t>Kosovo (temporary code)</t>
  </si>
  <si>
    <t>KW</t>
  </si>
  <si>
    <t>Kuwait</t>
  </si>
  <si>
    <t>KG</t>
  </si>
  <si>
    <t>Kyrgyzstan</t>
  </si>
  <si>
    <t>LA</t>
  </si>
  <si>
    <t>Lao, People's Democratic Republic</t>
  </si>
  <si>
    <t>LV</t>
  </si>
  <si>
    <t>LB</t>
  </si>
  <si>
    <t>Lebanon</t>
  </si>
  <si>
    <t>LS</t>
  </si>
  <si>
    <t>Lesotho</t>
  </si>
  <si>
    <t>LR</t>
  </si>
  <si>
    <t>Liberia</t>
  </si>
  <si>
    <t>LY</t>
  </si>
  <si>
    <t>Libyan Arab Jamahiriya</t>
  </si>
  <si>
    <t>LI</t>
  </si>
  <si>
    <t>Liechtenstein</t>
  </si>
  <si>
    <t>LT</t>
  </si>
  <si>
    <t>LU</t>
  </si>
  <si>
    <t>MO</t>
  </si>
  <si>
    <t>Macao</t>
  </si>
  <si>
    <t>MK</t>
  </si>
  <si>
    <t>Macedonia, The Former Yugoslav Republic Of</t>
  </si>
  <si>
    <t>MG</t>
  </si>
  <si>
    <t>Madagascar</t>
  </si>
  <si>
    <t>MW</t>
  </si>
  <si>
    <t>Malawi</t>
  </si>
  <si>
    <t>MY</t>
  </si>
  <si>
    <t>Malaysia</t>
  </si>
  <si>
    <t>MV</t>
  </si>
  <si>
    <t>Maldives</t>
  </si>
  <si>
    <t>ML</t>
  </si>
  <si>
    <t>Mali</t>
  </si>
  <si>
    <t>MT</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</si>
  <si>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</si>
  <si>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</si>
  <si>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</si>
  <si>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</si>
  <si>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</si>
  <si>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</si>
  <si>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</si>
  <si>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</si>
  <si>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</si>
  <si>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</si>
  <si>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</si>
  <si>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</si>
  <si>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</si>
  <si>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</si>
  <si>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</si>
  <si>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</si>
  <si>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</si>
  <si>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</si>
  <si>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</si>
  <si>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</si>
  <si>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</si>
  <si>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</si>
  <si>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</si>
  <si>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</si>
  <si>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</si>
  <si>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</si>
  <si>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</si>
  <si>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</si>
  <si>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</si>
  <si>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</si>
  <si>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</si>
  <si>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</si>
  <si>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</si>
  <si>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</si>
  <si>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</si>
  <si>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</si>
  <si>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</si>
  <si>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AN</t>
  </si>
  <si>
    <t>Netherlands Antilles</t>
  </si>
  <si>
    <t>NC</t>
  </si>
  <si>
    <t>New Caledonia</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</si>
  <si>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</si>
  <si>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</si>
  <si>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</si>
  <si>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</si>
  <si>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</si>
  <si>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</si>
  <si>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</si>
  <si>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</si>
  <si>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</si>
  <si>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</si>
  <si>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</si>
  <si>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</si>
  <si>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</si>
  <si>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</si>
  <si>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</si>
  <si>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</si>
  <si>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</si>
  <si>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</si>
  <si>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</si>
  <si>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</si>
  <si>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</si>
  <si>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</si>
  <si>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Palestinian Territory, Occupied</t>
  </si>
  <si>
    <t>PA</t>
  </si>
  <si>
    <t>Panama</t>
  </si>
  <si>
    <t>PG</t>
  </si>
  <si>
    <t>Papua New Guinea</t>
  </si>
  <si>
    <t>PY</t>
  </si>
  <si>
    <t>Paraguay</t>
  </si>
  <si>
    <t>PE</t>
  </si>
  <si>
    <t>Peru</t>
  </si>
  <si>
    <t>PH</t>
  </si>
  <si>
    <t>Philippines</t>
  </si>
  <si>
    <t>PN</t>
  </si>
  <si>
    <t>Pitcairn</t>
  </si>
  <si>
    <t>PL</t>
  </si>
  <si>
    <t>PT</t>
  </si>
  <si>
    <t>PR</t>
  </si>
  <si>
    <t>Puerto Rico</t>
  </si>
  <si>
    <t>QA</t>
  </si>
  <si>
    <t>Qatar</t>
  </si>
  <si>
    <t>RS</t>
  </si>
  <si>
    <t>Republic of Serbia</t>
  </si>
  <si>
    <t>RE</t>
  </si>
  <si>
    <t>Reunion</t>
  </si>
  <si>
    <t>RO</t>
  </si>
  <si>
    <t>RU</t>
  </si>
  <si>
    <t>Russia Federation</t>
  </si>
  <si>
    <t>RW</t>
  </si>
  <si>
    <t>Rwanda</t>
  </si>
  <si>
    <t>BL</t>
  </si>
  <si>
    <t>Saint Barthélemy</t>
  </si>
  <si>
    <t>SH</t>
  </si>
  <si>
    <t>Saint Helena</t>
  </si>
  <si>
    <t>KN</t>
  </si>
  <si>
    <t>Saint Kitts &amp; Nevis</t>
  </si>
  <si>
    <t>LC</t>
  </si>
  <si>
    <t>Saint Lucia</t>
  </si>
  <si>
    <t>MF</t>
  </si>
  <si>
    <t>Saint Martin</t>
  </si>
  <si>
    <t>PM</t>
  </si>
  <si>
    <t>Saint Pierre and Miquelon</t>
  </si>
  <si>
    <t>VC</t>
  </si>
  <si>
    <t>Saint Vincent and the Grenadines</t>
  </si>
  <si>
    <t>WS</t>
  </si>
  <si>
    <t>Samoa</t>
  </si>
  <si>
    <t>SM</t>
  </si>
  <si>
    <t>San Marino</t>
  </si>
  <si>
    <t>ST</t>
  </si>
  <si>
    <t>Sao Tome and Principe</t>
  </si>
  <si>
    <t>SA</t>
  </si>
  <si>
    <t>Saudi Arabia</t>
  </si>
  <si>
    <t>SN</t>
  </si>
  <si>
    <t>Senegal</t>
  </si>
  <si>
    <t>CS</t>
  </si>
  <si>
    <t>Serbia and Montenegro</t>
  </si>
  <si>
    <t>SC</t>
  </si>
  <si>
    <t>Seychelles</t>
  </si>
  <si>
    <t>SL</t>
  </si>
  <si>
    <t>Sierra Leone</t>
  </si>
  <si>
    <t>SG</t>
  </si>
  <si>
    <t>Singapore</t>
  </si>
  <si>
    <t>SX</t>
  </si>
  <si>
    <t>Sint Maarten</t>
  </si>
  <si>
    <t>SK</t>
  </si>
  <si>
    <t>SI</t>
  </si>
  <si>
    <t>SB</t>
  </si>
  <si>
    <t>Solomon Islands</t>
  </si>
  <si>
    <t>SO</t>
  </si>
  <si>
    <t>Somalia</t>
  </si>
  <si>
    <t>ZA</t>
  </si>
  <si>
    <t>South Africa</t>
  </si>
  <si>
    <t>GS</t>
  </si>
  <si>
    <t>South Georgia &amp; The South Sandwich Islands</t>
  </si>
  <si>
    <t>SS</t>
  </si>
  <si>
    <t>South Sudan</t>
  </si>
  <si>
    <t>ES</t>
  </si>
  <si>
    <t>LK</t>
  </si>
  <si>
    <t>Sri Lanka</t>
  </si>
  <si>
    <t>SD</t>
  </si>
  <si>
    <t>Sudan</t>
  </si>
  <si>
    <t>SR</t>
  </si>
  <si>
    <t>Suriname</t>
  </si>
  <si>
    <t>SJ</t>
  </si>
  <si>
    <t>Svalbard and Jan Mayen</t>
  </si>
  <si>
    <t>SZ</t>
  </si>
  <si>
    <t>Swaziland</t>
  </si>
  <si>
    <t>SE</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</si>
  <si>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</si>
  <si>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</si>
  <si>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</si>
  <si>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</si>
  <si>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</si>
  <si>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</si>
  <si>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</si>
  <si>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</si>
  <si>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</si>
  <si>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</si>
  <si>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</si>
  <si>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</si>
  <si>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</si>
  <si>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</si>
  <si>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</si>
  <si>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</si>
  <si>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</si>
  <si>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</si>
  <si>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</si>
  <si>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</si>
  <si>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</si>
  <si>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</si>
  <si>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</si>
  <si>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</si>
  <si>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</si>
  <si>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</si>
  <si>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XT</t>
  </si>
  <si>
    <t>Turkish Rep N Cyprus (temporary code)</t>
  </si>
  <si>
    <t>TM</t>
  </si>
  <si>
    <t>Turkmenistan</t>
  </si>
  <si>
    <t>TC</t>
  </si>
  <si>
    <t>Turks and Caicos Islands</t>
  </si>
  <si>
    <t>TV</t>
  </si>
  <si>
    <t>Tuvalu</t>
  </si>
  <si>
    <t>UG</t>
  </si>
  <si>
    <t>Uganda</t>
  </si>
  <si>
    <t>UA</t>
  </si>
  <si>
    <t>Ukraine</t>
  </si>
  <si>
    <t>AE</t>
  </si>
  <si>
    <t>United Arab Emirates</t>
  </si>
  <si>
    <t>United Kingdom</t>
  </si>
  <si>
    <t>US</t>
  </si>
  <si>
    <t>United States</t>
  </si>
  <si>
    <t>UM</t>
  </si>
  <si>
    <t>United States Minor Outlying Islands</t>
  </si>
  <si>
    <t>UY</t>
  </si>
  <si>
    <t>Uruguay</t>
  </si>
  <si>
    <t>UZ</t>
  </si>
  <si>
    <t>Uzbekistan</t>
  </si>
  <si>
    <t>VU</t>
  </si>
  <si>
    <t>Vanuatu</t>
  </si>
  <si>
    <t>VE</t>
  </si>
  <si>
    <t>Venezuela</t>
  </si>
  <si>
    <t>VN</t>
  </si>
  <si>
    <t>Vietnam</t>
  </si>
  <si>
    <t>VG</t>
  </si>
  <si>
    <t>Virgin Islands, British</t>
  </si>
  <si>
    <t>VI</t>
  </si>
  <si>
    <t>Virgin Islands, U.S.</t>
  </si>
  <si>
    <t>WF</t>
  </si>
  <si>
    <t>Wallis and Futuna</t>
  </si>
  <si>
    <t>EH</t>
  </si>
  <si>
    <t>Western Sahara</t>
  </si>
  <si>
    <t>YE</t>
  </si>
  <si>
    <t>Yemen</t>
  </si>
  <si>
    <t>ZM</t>
  </si>
  <si>
    <t>Zambia</t>
  </si>
  <si>
    <t>ZW</t>
  </si>
  <si>
    <t>Zimbabwe</t>
  </si>
  <si>
    <t>AT electricity mix</t>
  </si>
  <si>
    <t>BE electricity mix</t>
  </si>
  <si>
    <t>BG electricity mix</t>
  </si>
  <si>
    <t>HR electricity mix</t>
  </si>
  <si>
    <t>CY electricity mix</t>
  </si>
  <si>
    <t>CZ electricity mix</t>
  </si>
  <si>
    <t>DK electricity mix</t>
  </si>
  <si>
    <t>EE electricity mix</t>
  </si>
  <si>
    <t>EU-27 electricity mix</t>
  </si>
  <si>
    <t>FI electricity mix</t>
  </si>
  <si>
    <t>GR electricity mix</t>
  </si>
  <si>
    <t>HU electricity mix</t>
  </si>
  <si>
    <t>IS electricity mix</t>
  </si>
  <si>
    <t>IE electricity mix</t>
  </si>
  <si>
    <t>LV electricity mix</t>
  </si>
  <si>
    <t>LT electricity mix</t>
  </si>
  <si>
    <t>LU electricity mix</t>
  </si>
  <si>
    <t>MT electricity mix</t>
  </si>
  <si>
    <t>NL electricity mix</t>
  </si>
  <si>
    <t>NO electricity mix</t>
  </si>
  <si>
    <t>PL electricity mix</t>
  </si>
  <si>
    <t>PT electricity mix</t>
  </si>
  <si>
    <t>RO electricity mix</t>
  </si>
  <si>
    <t>SK electricity mix</t>
  </si>
  <si>
    <t>SI electricity mix</t>
  </si>
  <si>
    <t>ES electricity mix</t>
  </si>
  <si>
    <t>SE electricity mix</t>
  </si>
  <si>
    <t>Country</t>
  </si>
  <si>
    <t>In case the heating power is given the water mass flow is:</t>
  </si>
  <si>
    <t>https://www.sciencedirect.com/science/article/pii/S0360544218305759</t>
  </si>
  <si>
    <t>https://www.sciencedirect.com/science/article/pii/S1364032120305086</t>
  </si>
  <si>
    <t>https://www.sciencedirect.com/science/article/pii/S1364032120309308</t>
  </si>
  <si>
    <t>https://iopscience.iop.org/article/10.1088/1757-899X/90/1/012076</t>
  </si>
  <si>
    <t>price</t>
  </si>
  <si>
    <t>Eurostat, electricity price</t>
  </si>
  <si>
    <t>electricity price</t>
  </si>
  <si>
    <t>https://ec.europa.eu/eurostat/web/products-datasets/-/ten00117</t>
  </si>
  <si>
    <t>year_electricity_01</t>
  </si>
  <si>
    <t>year_CO2_01</t>
  </si>
  <si>
    <t>electricity price_01 [Euro/kWh]</t>
  </si>
  <si>
    <t>Eurostat, gas price</t>
  </si>
  <si>
    <t>gas price</t>
  </si>
  <si>
    <t>https://ec.europa.eu/eurostat/web/products-datasets/-/ten00118</t>
  </si>
  <si>
    <t>electricity_region</t>
  </si>
  <si>
    <t>region_list</t>
  </si>
  <si>
    <t>electricity_drop_down_choice</t>
  </si>
  <si>
    <t>Row index</t>
  </si>
  <si>
    <t>row index filtered</t>
  </si>
  <si>
    <t>Matching criteria</t>
  </si>
  <si>
    <t>UK</t>
  </si>
  <si>
    <t>year_gas_price_01</t>
  </si>
  <si>
    <t>gas price_01 [Euro/GJ (GCV)]</t>
  </si>
  <si>
    <t>Nbr empty cells:</t>
  </si>
  <si>
    <t>Nbr cell:</t>
  </si>
  <si>
    <t>Difference:</t>
  </si>
  <si>
    <t>DEBUGING</t>
  </si>
  <si>
    <t>EU-27</t>
  </si>
  <si>
    <t xml:space="preserve"> European Union 27 countries</t>
  </si>
  <si>
    <t>n.a.</t>
  </si>
  <si>
    <t>title</t>
  </si>
  <si>
    <t>link</t>
  </si>
  <si>
    <t>description</t>
  </si>
  <si>
    <t>baseCurrency</t>
  </si>
  <si>
    <t>pubDate</t>
  </si>
  <si>
    <t>EUR</t>
  </si>
  <si>
    <t>baseName</t>
  </si>
  <si>
    <t>targetCurrency</t>
  </si>
  <si>
    <t>targetName</t>
  </si>
  <si>
    <t>exchangeRate</t>
  </si>
  <si>
    <t>inverseRate</t>
  </si>
  <si>
    <t>inverseDescription</t>
  </si>
  <si>
    <t>http://www.floatrates.com/eur/usd/</t>
  </si>
  <si>
    <t>Euro</t>
  </si>
  <si>
    <t>USD</t>
  </si>
  <si>
    <t>U.S. Dollar</t>
  </si>
  <si>
    <t>http://www.floatrates.com/eur/gbp/</t>
  </si>
  <si>
    <t>GBP</t>
  </si>
  <si>
    <t>U.K. Pound Sterling</t>
  </si>
  <si>
    <t>http://www.floatrates.com/eur/jpy/</t>
  </si>
  <si>
    <t>JPY</t>
  </si>
  <si>
    <t>Japanese Yen</t>
  </si>
  <si>
    <t>http://www.floatrates.com/eur/aud/</t>
  </si>
  <si>
    <t>AUD</t>
  </si>
  <si>
    <t>Australian Dollar</t>
  </si>
  <si>
    <t>http://www.floatrates.com/eur/chf/</t>
  </si>
  <si>
    <t>CHF</t>
  </si>
  <si>
    <t>Swiss Franc</t>
  </si>
  <si>
    <t>http://www.floatrates.com/eur/cad/</t>
  </si>
  <si>
    <t>CAD</t>
  </si>
  <si>
    <t>Canadian Dollar</t>
  </si>
  <si>
    <t>http://www.floatrates.com/eur/bbd/</t>
  </si>
  <si>
    <t>BBD</t>
  </si>
  <si>
    <t>Barbadian Dollar</t>
  </si>
  <si>
    <t>http://www.floatrates.com/eur/ang/</t>
  </si>
  <si>
    <t>ANG</t>
  </si>
  <si>
    <t>Neth. Antillean Guilder</t>
  </si>
  <si>
    <t>http://www.floatrates.com/eur/pkr/</t>
  </si>
  <si>
    <t>PKR</t>
  </si>
  <si>
    <t>Pakistani Rupee</t>
  </si>
  <si>
    <t>http://www.floatrates.com/eur/krw/</t>
  </si>
  <si>
    <t>KRW</t>
  </si>
  <si>
    <t>South Korean Won</t>
  </si>
  <si>
    <t>http://www.floatrates.com/eur/azn/</t>
  </si>
  <si>
    <t>AZN</t>
  </si>
  <si>
    <t>Azerbaijan Manat</t>
  </si>
  <si>
    <t>http://www.floatrates.com/eur/crc/</t>
  </si>
  <si>
    <t>CRC</t>
  </si>
  <si>
    <t>Costa Rican Colón</t>
  </si>
  <si>
    <t>http://www.floatrates.com/eur/bnd/</t>
  </si>
  <si>
    <t>BND</t>
  </si>
  <si>
    <t>Brunei Dollar</t>
  </si>
  <si>
    <t>http://www.floatrates.com/eur/kmf/</t>
  </si>
  <si>
    <t>KMF</t>
  </si>
  <si>
    <t xml:space="preserve">	Comoro franc</t>
  </si>
  <si>
    <t>http://www.floatrates.com/eur/lsl/</t>
  </si>
  <si>
    <t>LSL</t>
  </si>
  <si>
    <t>Lesotho loti</t>
  </si>
  <si>
    <t>http://www.floatrates.com/eur/tzs/</t>
  </si>
  <si>
    <t>TZS</t>
  </si>
  <si>
    <t>Tanzanian shilling</t>
  </si>
  <si>
    <t>http://www.floatrates.com/eur/brl/</t>
  </si>
  <si>
    <t>BRL</t>
  </si>
  <si>
    <t>Brazilian Real</t>
  </si>
  <si>
    <t>http://www.floatrates.com/eur/egp/</t>
  </si>
  <si>
    <t>EGP</t>
  </si>
  <si>
    <t>Egyptian Pound</t>
  </si>
  <si>
    <t>http://www.floatrates.com/eur/sgd/</t>
  </si>
  <si>
    <t>SGD</t>
  </si>
  <si>
    <t>Singapore Dollar</t>
  </si>
  <si>
    <t>http://www.floatrates.com/eur/zar/</t>
  </si>
  <si>
    <t>ZAR</t>
  </si>
  <si>
    <t>South African Rand</t>
  </si>
  <si>
    <t>http://www.floatrates.com/eur/kgs/</t>
  </si>
  <si>
    <t>KGS</t>
  </si>
  <si>
    <t>Kyrgyzstan Som</t>
  </si>
  <si>
    <t>http://www.floatrates.com/eur/pyg/</t>
  </si>
  <si>
    <t>PYG</t>
  </si>
  <si>
    <t>Paraguayan Guaraní</t>
  </si>
  <si>
    <t>http://www.floatrates.com/eur/jmd/</t>
  </si>
  <si>
    <t>JMD</t>
  </si>
  <si>
    <t>Jamaican Dollar</t>
  </si>
  <si>
    <t>http://www.floatrates.com/eur/ssp/</t>
  </si>
  <si>
    <t>SSP</t>
  </si>
  <si>
    <t>South Sudanese pound</t>
  </si>
  <si>
    <t>http://www.floatrates.com/eur/mru/</t>
  </si>
  <si>
    <t>MRU</t>
  </si>
  <si>
    <t>Mauritanian ouguiya</t>
  </si>
  <si>
    <t>http://www.floatrates.com/eur/mnt/</t>
  </si>
  <si>
    <t>MNT</t>
  </si>
  <si>
    <t>Mongolian togrog</t>
  </si>
  <si>
    <t>http://www.floatrates.com/eur/dkk/</t>
  </si>
  <si>
    <t>DKK</t>
  </si>
  <si>
    <t>Danish Krone</t>
  </si>
  <si>
    <t>http://www.floatrates.com/eur/inr/</t>
  </si>
  <si>
    <t>INR</t>
  </si>
  <si>
    <t>Indian Rupee</t>
  </si>
  <si>
    <t>http://www.floatrates.com/eur/try/</t>
  </si>
  <si>
    <t>TRY</t>
  </si>
  <si>
    <t>Turkish Lira</t>
  </si>
  <si>
    <t>http://www.floatrates.com/eur/twd/</t>
  </si>
  <si>
    <t>TWD</t>
  </si>
  <si>
    <t xml:space="preserve">New Taiwan Dollar </t>
  </si>
  <si>
    <t>http://www.floatrates.com/eur/tmt/</t>
  </si>
  <si>
    <t>TMT</t>
  </si>
  <si>
    <t>New Turkmenistan Manat</t>
  </si>
  <si>
    <t>http://www.floatrates.com/eur/afn/</t>
  </si>
  <si>
    <t>AFN</t>
  </si>
  <si>
    <t>Afghan afghani</t>
  </si>
  <si>
    <t>http://www.floatrates.com/eur/srd/</t>
  </si>
  <si>
    <t>SRD</t>
  </si>
  <si>
    <t>Surinamese dollar</t>
  </si>
  <si>
    <t>http://www.floatrates.com/eur/ghs/</t>
  </si>
  <si>
    <t>GHS</t>
  </si>
  <si>
    <t>Ghanaian Cedi</t>
  </si>
  <si>
    <t>http://www.floatrates.com/eur/cup/</t>
  </si>
  <si>
    <t>CUP</t>
  </si>
  <si>
    <t>Cuban peso</t>
  </si>
  <si>
    <t>http://www.floatrates.com/eur/lbp/</t>
  </si>
  <si>
    <t>LBP</t>
  </si>
  <si>
    <t>Lebanese Pound</t>
  </si>
  <si>
    <t>http://www.floatrates.com/eur/huf/</t>
  </si>
  <si>
    <t>HUF</t>
  </si>
  <si>
    <t>Hungarian Forint</t>
  </si>
  <si>
    <t>http://www.floatrates.com/eur/ngn/</t>
  </si>
  <si>
    <t>NGN</t>
  </si>
  <si>
    <t>Nigerian Naira</t>
  </si>
  <si>
    <t>http://www.floatrates.com/eur/irr/</t>
  </si>
  <si>
    <t>IRR</t>
  </si>
  <si>
    <t>Iranian rial</t>
  </si>
  <si>
    <t>http://www.floatrates.com/eur/svc/</t>
  </si>
  <si>
    <t>SVC</t>
  </si>
  <si>
    <t>Salvadoran colon</t>
  </si>
  <si>
    <t>http://www.floatrates.com/eur/sbd/</t>
  </si>
  <si>
    <t>SBD</t>
  </si>
  <si>
    <t>Solomon Islands dollar</t>
  </si>
  <si>
    <t>http://www.floatrates.com/eur/zmw/</t>
  </si>
  <si>
    <t>ZMW</t>
  </si>
  <si>
    <t>Zambian kwacha</t>
  </si>
  <si>
    <t>http://www.floatrates.com/eur/yer/</t>
  </si>
  <si>
    <t>YER</t>
  </si>
  <si>
    <t>Yemeni rial</t>
  </si>
  <si>
    <t>http://www.floatrates.com/eur/ves/</t>
  </si>
  <si>
    <t>VES</t>
  </si>
  <si>
    <t>Venezuelan Bolivar</t>
  </si>
  <si>
    <t>http://www.floatrates.com/eur/npr/</t>
  </si>
  <si>
    <t>NPR</t>
  </si>
  <si>
    <t>Nepalese Rupee</t>
  </si>
  <si>
    <t>http://www.floatrates.com/eur/isk/</t>
  </si>
  <si>
    <t>ISK</t>
  </si>
  <si>
    <t>Icelandic Krona</t>
  </si>
  <si>
    <t>http://www.floatrates.com/eur/gip/</t>
  </si>
  <si>
    <t>GIP</t>
  </si>
  <si>
    <t>Gibraltar pound</t>
  </si>
  <si>
    <t>http://www.floatrates.com/eur/gel/</t>
  </si>
  <si>
    <t>GEL</t>
  </si>
  <si>
    <t>Georgian lari</t>
  </si>
  <si>
    <t>http://www.floatrates.com/eur/mkd/</t>
  </si>
  <si>
    <t>MKD</t>
  </si>
  <si>
    <t>Macedonian denar</t>
  </si>
  <si>
    <t>http://www.floatrates.com/eur/bif/</t>
  </si>
  <si>
    <t>BIF</t>
  </si>
  <si>
    <t>Burundian franc</t>
  </si>
  <si>
    <t>http://www.floatrates.com/eur/all/</t>
  </si>
  <si>
    <t>ALL</t>
  </si>
  <si>
    <t>Albanian lek</t>
  </si>
  <si>
    <t>http://www.floatrates.com/eur/mur/</t>
  </si>
  <si>
    <t>MUR</t>
  </si>
  <si>
    <t>Mauritian Rupee</t>
  </si>
  <si>
    <t>http://www.floatrates.com/eur/aed/</t>
  </si>
  <si>
    <t>AED</t>
  </si>
  <si>
    <t>U.A.E Dirham</t>
  </si>
  <si>
    <t>http://www.floatrates.com/eur/php/</t>
  </si>
  <si>
    <t>PHP</t>
  </si>
  <si>
    <t>Philippine Peso</t>
  </si>
  <si>
    <t>http://www.floatrates.com/eur/ils/</t>
  </si>
  <si>
    <t>ILS</t>
  </si>
  <si>
    <t>Israeli New Sheqel</t>
  </si>
  <si>
    <t>http://www.floatrates.com/eur/mro/</t>
  </si>
  <si>
    <t>MRO</t>
  </si>
  <si>
    <t>Mauritanian Ouguiya</t>
  </si>
  <si>
    <t>http://www.floatrates.com/eur/cop/</t>
  </si>
  <si>
    <t>Colombian Peso</t>
  </si>
  <si>
    <t>http://www.floatrates.com/eur/bzd/</t>
  </si>
  <si>
    <t>BZD</t>
  </si>
  <si>
    <t>Belize dollar</t>
  </si>
  <si>
    <t>http://www.floatrates.com/eur/gnf/</t>
  </si>
  <si>
    <t>GNF</t>
  </si>
  <si>
    <t>Guinean franc</t>
  </si>
  <si>
    <t>http://www.floatrates.com/eur/szl/</t>
  </si>
  <si>
    <t>SZL</t>
  </si>
  <si>
    <t>Swazi lilangeni</t>
  </si>
  <si>
    <t>http://www.floatrates.com/eur/sos/</t>
  </si>
  <si>
    <t>SOS</t>
  </si>
  <si>
    <t>Somali shilling</t>
  </si>
  <si>
    <t>http://www.floatrates.com/eur/cny/</t>
  </si>
  <si>
    <t>CNY</t>
  </si>
  <si>
    <t>Chinese Yuan</t>
  </si>
  <si>
    <t>http://www.floatrates.com/eur/sar/</t>
  </si>
  <si>
    <t>SAR</t>
  </si>
  <si>
    <t>Saudi Riyal</t>
  </si>
  <si>
    <t>http://www.floatrates.com/eur/myr/</t>
  </si>
  <si>
    <t>MYR</t>
  </si>
  <si>
    <t>Malaysian Ringgit</t>
  </si>
  <si>
    <t>http://www.floatrates.com/eur/kzt/</t>
  </si>
  <si>
    <t>KZT</t>
  </si>
  <si>
    <t>Kazakhstani Tenge</t>
  </si>
  <si>
    <t>http://www.floatrates.com/eur/pab/</t>
  </si>
  <si>
    <t>PAB</t>
  </si>
  <si>
    <t>Panamanian Balboa</t>
  </si>
  <si>
    <t>http://www.floatrates.com/eur/gyd/</t>
  </si>
  <si>
    <t>GYD</t>
  </si>
  <si>
    <t>Guyanese dollar</t>
  </si>
  <si>
    <t>http://www.floatrates.com/eur/rwf/</t>
  </si>
  <si>
    <t>RWF</t>
  </si>
  <si>
    <t>Rwandan franc</t>
  </si>
  <si>
    <t>http://www.floatrates.com/eur/ern/</t>
  </si>
  <si>
    <t>ERN</t>
  </si>
  <si>
    <t>Eritrean nakfa</t>
  </si>
  <si>
    <t>http://www.floatrates.com/eur/wst/</t>
  </si>
  <si>
    <t>WST</t>
  </si>
  <si>
    <t>Samoan tala</t>
  </si>
  <si>
    <t>http://www.floatrates.com/eur/bam/</t>
  </si>
  <si>
    <t>BAM</t>
  </si>
  <si>
    <t>Bosnia and Herzegovina convertible mark</t>
  </si>
  <si>
    <t>http://www.floatrates.com/eur/idr/</t>
  </si>
  <si>
    <t>IDR</t>
  </si>
  <si>
    <t>Indonesian Rupiah</t>
  </si>
  <si>
    <t>http://www.floatrates.com/eur/tnd/</t>
  </si>
  <si>
    <t>TND</t>
  </si>
  <si>
    <t>Tunisian Dinar</t>
  </si>
  <si>
    <t>http://www.floatrates.com/eur/xof/</t>
  </si>
  <si>
    <t>XOF</t>
  </si>
  <si>
    <t>West African CFA Franc</t>
  </si>
  <si>
    <t>http://www.floatrates.com/eur/tjs/</t>
  </si>
  <si>
    <t>TJS</t>
  </si>
  <si>
    <t>Tajikistan Ruble</t>
  </si>
  <si>
    <t>http://www.floatrates.com/eur/bob/</t>
  </si>
  <si>
    <t>BOB</t>
  </si>
  <si>
    <t>Bolivian Boliviano</t>
  </si>
  <si>
    <t>http://www.floatrates.com/eur/nad/</t>
  </si>
  <si>
    <t>NAD</t>
  </si>
  <si>
    <t>Namibian dollar</t>
  </si>
  <si>
    <t>http://www.floatrates.com/eur/syp/</t>
  </si>
  <si>
    <t>SYP</t>
  </si>
  <si>
    <t>Syrian pound</t>
  </si>
  <si>
    <t>http://www.floatrates.com/eur/mop/</t>
  </si>
  <si>
    <t>MOP</t>
  </si>
  <si>
    <t>Macanese pataca</t>
  </si>
  <si>
    <t>http://www.floatrates.com/eur/kwd/</t>
  </si>
  <si>
    <t>KWD</t>
  </si>
  <si>
    <t>Kuwaiti Dinar</t>
  </si>
  <si>
    <t>http://www.floatrates.com/eur/czk/</t>
  </si>
  <si>
    <t>CZK</t>
  </si>
  <si>
    <t>Czech Koruna</t>
  </si>
  <si>
    <t>http://www.floatrates.com/eur/pgk/</t>
  </si>
  <si>
    <t>PGK</t>
  </si>
  <si>
    <t>Papua New Guinean kina</t>
  </si>
  <si>
    <t>http://www.floatrates.com/eur/uah/</t>
  </si>
  <si>
    <t>UAH</t>
  </si>
  <si>
    <t>Ukrainian Hryvnia</t>
  </si>
  <si>
    <t>http://www.floatrates.com/eur/etb/</t>
  </si>
  <si>
    <t>ETB</t>
  </si>
  <si>
    <t>Ethiopian birr</t>
  </si>
  <si>
    <t>http://www.floatrates.com/eur/xcd/</t>
  </si>
  <si>
    <t>XCD</t>
  </si>
  <si>
    <t>East Caribbean Dollar</t>
  </si>
  <si>
    <t>http://www.floatrates.com/eur/mwk/</t>
  </si>
  <si>
    <t>MWK</t>
  </si>
  <si>
    <t>Malawian kwacha</t>
  </si>
  <si>
    <t>http://www.floatrates.com/eur/gtq/</t>
  </si>
  <si>
    <t>GTQ</t>
  </si>
  <si>
    <t>Guatemalan Quetzal</t>
  </si>
  <si>
    <t>http://www.floatrates.com/eur/sek/</t>
  </si>
  <si>
    <t>SEK</t>
  </si>
  <si>
    <t>Swedish Krona</t>
  </si>
  <si>
    <t>http://www.floatrates.com/eur/mad/</t>
  </si>
  <si>
    <t>MAD</t>
  </si>
  <si>
    <t>Moroccan Dirham</t>
  </si>
  <si>
    <t>http://www.floatrates.com/eur/ron/</t>
  </si>
  <si>
    <t>RON</t>
  </si>
  <si>
    <t>Romanian New Leu</t>
  </si>
  <si>
    <t>http://www.floatrates.com/eur/byn/</t>
  </si>
  <si>
    <t>BYN</t>
  </si>
  <si>
    <t>Belarussian Ruble</t>
  </si>
  <si>
    <t>http://www.floatrates.com/eur/rsd/</t>
  </si>
  <si>
    <t>RSD</t>
  </si>
  <si>
    <t>Serbian Dinar</t>
  </si>
  <si>
    <t>http://www.floatrates.com/eur/gmd/</t>
  </si>
  <si>
    <t>GMD</t>
  </si>
  <si>
    <t>Gambian dalasi</t>
  </si>
  <si>
    <t>http://www.floatrates.com/eur/awg/</t>
  </si>
  <si>
    <t>AWG</t>
  </si>
  <si>
    <t>Aruban florin</t>
  </si>
  <si>
    <t>http://www.floatrates.com/eur/mmk/</t>
  </si>
  <si>
    <t>MMK</t>
  </si>
  <si>
    <t>Myanma Kyat</t>
  </si>
  <si>
    <t>http://www.floatrates.com/eur/mvr/</t>
  </si>
  <si>
    <t>MVR</t>
  </si>
  <si>
    <t>Maldivian rufiyaa</t>
  </si>
  <si>
    <t>http://www.floatrates.com/eur/bhd/</t>
  </si>
  <si>
    <t>BHD</t>
  </si>
  <si>
    <t>Bahrain Dinar</t>
  </si>
  <si>
    <t>http://www.floatrates.com/eur/omr/</t>
  </si>
  <si>
    <t>OMR</t>
  </si>
  <si>
    <t>Omani Rial</t>
  </si>
  <si>
    <t>http://www.floatrates.com/eur/rub/</t>
  </si>
  <si>
    <t>RUB</t>
  </si>
  <si>
    <t>Russian Rouble</t>
  </si>
  <si>
    <t>http://www.floatrates.com/eur/lyd/</t>
  </si>
  <si>
    <t>LYD</t>
  </si>
  <si>
    <t>Libyan Dinar</t>
  </si>
  <si>
    <t>http://www.floatrates.com/eur/clp/</t>
  </si>
  <si>
    <t>CLP</t>
  </si>
  <si>
    <t>Chilean Peso</t>
  </si>
  <si>
    <t>http://www.floatrates.com/eur/bsd/</t>
  </si>
  <si>
    <t>BSD</t>
  </si>
  <si>
    <t>Bahamian Dollar</t>
  </si>
  <si>
    <t>http://www.floatrates.com/eur/djf/</t>
  </si>
  <si>
    <t>DJF</t>
  </si>
  <si>
    <t>Djiboutian franc</t>
  </si>
  <si>
    <t>http://www.floatrates.com/eur/kes/</t>
  </si>
  <si>
    <t>KES</t>
  </si>
  <si>
    <t>Kenyan shilling</t>
  </si>
  <si>
    <t>http://www.floatrates.com/eur/bdt/</t>
  </si>
  <si>
    <t>BDT</t>
  </si>
  <si>
    <t>Bangladeshi taka</t>
  </si>
  <si>
    <t>http://www.floatrates.com/eur/qar/</t>
  </si>
  <si>
    <t>QAR</t>
  </si>
  <si>
    <t>Qatari Rial</t>
  </si>
  <si>
    <t>http://www.floatrates.com/eur/mxn/</t>
  </si>
  <si>
    <t>MXN</t>
  </si>
  <si>
    <t>Mexican Peso</t>
  </si>
  <si>
    <t>http://www.floatrates.com/eur/amd/</t>
  </si>
  <si>
    <t>AMD</t>
  </si>
  <si>
    <t>Armenia Dram</t>
  </si>
  <si>
    <t>http://www.floatrates.com/eur/htg/</t>
  </si>
  <si>
    <t>HTG</t>
  </si>
  <si>
    <t>Haitian gourde</t>
  </si>
  <si>
    <t>http://www.floatrates.com/eur/fjd/</t>
  </si>
  <si>
    <t>FJD</t>
  </si>
  <si>
    <t>Fiji Dollar</t>
  </si>
  <si>
    <t>http://www.floatrates.com/eur/cdf/</t>
  </si>
  <si>
    <t>CDF</t>
  </si>
  <si>
    <t>Congolese franc</t>
  </si>
  <si>
    <t>http://www.floatrates.com/eur/mzn/</t>
  </si>
  <si>
    <t>MZN</t>
  </si>
  <si>
    <t>Mozambican metical</t>
  </si>
  <si>
    <t>http://www.floatrates.com/eur/ugx/</t>
  </si>
  <si>
    <t>UGX</t>
  </si>
  <si>
    <t>Ugandan shilling</t>
  </si>
  <si>
    <t>http://www.floatrates.com/eur/vuv/</t>
  </si>
  <si>
    <t>VUV</t>
  </si>
  <si>
    <t>Vanuatu vatu</t>
  </si>
  <si>
    <t>http://www.floatrates.com/eur/hkd/</t>
  </si>
  <si>
    <t>HKD</t>
  </si>
  <si>
    <t>Hong Kong Dollar</t>
  </si>
  <si>
    <t>http://www.floatrates.com/eur/thb/</t>
  </si>
  <si>
    <t>THB</t>
  </si>
  <si>
    <t>Thai Baht</t>
  </si>
  <si>
    <t>http://www.floatrates.com/eur/xaf/</t>
  </si>
  <si>
    <t>XAF</t>
  </si>
  <si>
    <t>Central African CFA Franc</t>
  </si>
  <si>
    <t>http://www.floatrates.com/eur/mdl/</t>
  </si>
  <si>
    <t>MDL</t>
  </si>
  <si>
    <t>Moldova Lei</t>
  </si>
  <si>
    <t>http://www.floatrates.com/eur/uyu/</t>
  </si>
  <si>
    <t>UYU</t>
  </si>
  <si>
    <t>Uruguayan Peso</t>
  </si>
  <si>
    <t>http://www.floatrates.com/eur/lrd/</t>
  </si>
  <si>
    <t>LRD</t>
  </si>
  <si>
    <t>Liberian dollar</t>
  </si>
  <si>
    <t>http://www.floatrates.com/eur/sdg/</t>
  </si>
  <si>
    <t>SDG</t>
  </si>
  <si>
    <t>Sudanese pound</t>
  </si>
  <si>
    <t>http://www.floatrates.com/eur/top/</t>
  </si>
  <si>
    <t>TOP</t>
  </si>
  <si>
    <t>Tongan paʻanga</t>
  </si>
  <si>
    <t>http://www.floatrates.com/eur/jod/</t>
  </si>
  <si>
    <t>JOD</t>
  </si>
  <si>
    <t>Jordanian Dinar</t>
  </si>
  <si>
    <t>http://www.floatrates.com/eur/bgn/</t>
  </si>
  <si>
    <t>BGN</t>
  </si>
  <si>
    <t>Bulgarian Lev</t>
  </si>
  <si>
    <t>http://www.floatrates.com/eur/vnd/</t>
  </si>
  <si>
    <t>VND</t>
  </si>
  <si>
    <t>Vietnamese Dong</t>
  </si>
  <si>
    <t>http://www.floatrates.com/eur/uzs/</t>
  </si>
  <si>
    <t>UZS</t>
  </si>
  <si>
    <t>Uzbekistan Sum</t>
  </si>
  <si>
    <t>http://www.floatrates.com/eur/mga/</t>
  </si>
  <si>
    <t>MGA</t>
  </si>
  <si>
    <t>Malagasy ariary</t>
  </si>
  <si>
    <t>http://www.floatrates.com/eur/ttd/</t>
  </si>
  <si>
    <t>TTD</t>
  </si>
  <si>
    <t>Trinidad Tobago Dollar</t>
  </si>
  <si>
    <t>http://www.floatrates.com/eur/lak/</t>
  </si>
  <si>
    <t>LAK</t>
  </si>
  <si>
    <t>Lao kip</t>
  </si>
  <si>
    <t>http://www.floatrates.com/eur/bwp/</t>
  </si>
  <si>
    <t>BWP</t>
  </si>
  <si>
    <t>Botswana Pula</t>
  </si>
  <si>
    <t>http://www.floatrates.com/eur/nok/</t>
  </si>
  <si>
    <t>NOK</t>
  </si>
  <si>
    <t>Norwegian Krone</t>
  </si>
  <si>
    <t>http://www.floatrates.com/eur/lkr/</t>
  </si>
  <si>
    <t>LKR</t>
  </si>
  <si>
    <t>Sri Lanka Rupee</t>
  </si>
  <si>
    <t>http://www.floatrates.com/eur/pln/</t>
  </si>
  <si>
    <t>PLN</t>
  </si>
  <si>
    <t>Polish Zloty</t>
  </si>
  <si>
    <t>http://www.floatrates.com/eur/pen/</t>
  </si>
  <si>
    <t>PEN</t>
  </si>
  <si>
    <t>Peruvian Nuevo Sol</t>
  </si>
  <si>
    <t>http://www.floatrates.com/eur/iqd/</t>
  </si>
  <si>
    <t>IQD</t>
  </si>
  <si>
    <t>Iraqi dinar</t>
  </si>
  <si>
    <t>http://www.floatrates.com/eur/nio/</t>
  </si>
  <si>
    <t>NIO</t>
  </si>
  <si>
    <t>Nicaraguan Córdoba</t>
  </si>
  <si>
    <t>http://www.floatrates.com/eur/cve/</t>
  </si>
  <si>
    <t>CVE</t>
  </si>
  <si>
    <t>Cape Verde escudo</t>
  </si>
  <si>
    <t>http://www.floatrates.com/eur/aoa/</t>
  </si>
  <si>
    <t>AOA</t>
  </si>
  <si>
    <t>Angolan kwanza</t>
  </si>
  <si>
    <t>http://www.floatrates.com/eur/khr/</t>
  </si>
  <si>
    <t>KHR</t>
  </si>
  <si>
    <t>Cambodian riel</t>
  </si>
  <si>
    <t>http://www.floatrates.com/eur/dop/</t>
  </si>
  <si>
    <t>DOP</t>
  </si>
  <si>
    <t>Dominican Peso</t>
  </si>
  <si>
    <t>http://www.floatrates.com/eur/nzd/</t>
  </si>
  <si>
    <t>NZD</t>
  </si>
  <si>
    <t>New Zealand Dollar</t>
  </si>
  <si>
    <t>http://www.floatrates.com/eur/hrk/</t>
  </si>
  <si>
    <t>HRK</t>
  </si>
  <si>
    <t>Croatian Kuna</t>
  </si>
  <si>
    <t>http://www.floatrates.com/eur/dzd/</t>
  </si>
  <si>
    <t>DZD</t>
  </si>
  <si>
    <t>Algerian Dinar</t>
  </si>
  <si>
    <t>http://www.floatrates.com/eur/ars/</t>
  </si>
  <si>
    <t>ARS</t>
  </si>
  <si>
    <t>Argentine Peso</t>
  </si>
  <si>
    <t>http://www.floatrates.com/eur/stn/</t>
  </si>
  <si>
    <t>STN</t>
  </si>
  <si>
    <t>São Tomé and Príncipe Dobra</t>
  </si>
  <si>
    <t>http://www.floatrates.com/eur/xpf/</t>
  </si>
  <si>
    <t>XPF</t>
  </si>
  <si>
    <t>CFP Franc</t>
  </si>
  <si>
    <t>http://www.floatrates.com/eur/hnl/</t>
  </si>
  <si>
    <t>HNL</t>
  </si>
  <si>
    <t>Honduran Lempira</t>
  </si>
  <si>
    <t>http://www.floatrates.com/eur/scr/</t>
  </si>
  <si>
    <t>SCR</t>
  </si>
  <si>
    <t>Seychelles rupee</t>
  </si>
  <si>
    <t>year_CO2_tax_01</t>
  </si>
  <si>
    <t>CO2 tax_01 [Euro/kg]</t>
  </si>
  <si>
    <t>Carbon tax for different country worldwide</t>
  </si>
  <si>
    <t>carbon tax</t>
  </si>
  <si>
    <t>https://carbonpricingdashboard.worldbank.org/map_data</t>
  </si>
  <si>
    <t>year_oil_price_01</t>
  </si>
  <si>
    <t>oil price_01 [Euro/GJ]</t>
  </si>
  <si>
    <t>CO2 tax</t>
  </si>
  <si>
    <t>menu name</t>
  </si>
  <si>
    <t>menu worksheet</t>
  </si>
  <si>
    <t>menu cell</t>
  </si>
  <si>
    <t>Main</t>
  </si>
  <si>
    <t>Economic analysis</t>
  </si>
  <si>
    <r>
      <t>CO</t>
    </r>
    <r>
      <rPr>
        <vertAlign val="subscript"/>
        <sz val="11"/>
        <color theme="1"/>
        <rFont val="Calibri"/>
        <family val="2"/>
        <scheme val="minor"/>
      </rPr>
      <t>2</t>
    </r>
    <r>
      <rPr>
        <sz val="11"/>
        <color theme="1"/>
        <rFont val="Calibri"/>
        <family val="2"/>
        <scheme val="minor"/>
      </rPr>
      <t xml:space="preserve"> analysis</t>
    </r>
  </si>
  <si>
    <t>Additional financial analysis</t>
  </si>
  <si>
    <t>menu link</t>
  </si>
  <si>
    <t>B57</t>
  </si>
  <si>
    <t>B34</t>
  </si>
  <si>
    <t>B69</t>
  </si>
  <si>
    <t>B103</t>
  </si>
  <si>
    <t>boiler price</t>
  </si>
  <si>
    <t>Steam gas boiler price estimation</t>
  </si>
  <si>
    <t>https://www.zbgboiler.com/FAQ/commercial-quotation-and-technical-parameters-of-60-tph-medium-pressure-steam-boiler.html</t>
  </si>
  <si>
    <t>LMTD Delta temperature*:</t>
  </si>
  <si>
    <t>year</t>
  </si>
  <si>
    <t>english</t>
  </si>
  <si>
    <t>1 EUR = 0.99510198 USD</t>
  </si>
  <si>
    <t>1 Euro = 0.99510198 U.S. Dollar</t>
  </si>
  <si>
    <t>Tue, 23 Aug 2022 23:55:01 GMT</t>
  </si>
  <si>
    <t>0.99510198</t>
  </si>
  <si>
    <t>1.00492213</t>
  </si>
  <si>
    <t>1 U.S. Dollar = 1.00492213 Euro</t>
  </si>
  <si>
    <t>1 EUR = 0.84316973 GBP</t>
  </si>
  <si>
    <t>1 Euro = 0.84316973 U.K. Pound Sterling</t>
  </si>
  <si>
    <t>0.84316973</t>
  </si>
  <si>
    <t>1.18600083</t>
  </si>
  <si>
    <t>1 U.K. Pound Sterling = 1.18600083 Euro</t>
  </si>
  <si>
    <t>1 EUR = 1.29261088 CAD</t>
  </si>
  <si>
    <t>1 Euro = 1.29261088 Canadian Dollar</t>
  </si>
  <si>
    <t>1.29261088</t>
  </si>
  <si>
    <t>0.77362802</t>
  </si>
  <si>
    <t>1 Canadian Dollar = 0.77362802 Euro</t>
  </si>
  <si>
    <t>1 EUR = 136.25328796 JPY</t>
  </si>
  <si>
    <t>1 Euro = 136.25328796 Japanese Yen</t>
  </si>
  <si>
    <t>136.25328796</t>
  </si>
  <si>
    <t>0.00733927</t>
  </si>
  <si>
    <t>1 Japanese Yen = 0.00733927 Euro</t>
  </si>
  <si>
    <t>1 EUR = 1.44077605 AUD</t>
  </si>
  <si>
    <t>1 Euro = 1.44077605 Australian Dollar</t>
  </si>
  <si>
    <t>1.44077605</t>
  </si>
  <si>
    <t>0.69407039</t>
  </si>
  <si>
    <t>1 Australian Dollar = 0.69407039 Euro</t>
  </si>
  <si>
    <t>1 EUR = 0.96052628 CHF</t>
  </si>
  <si>
    <t>1 Euro = 0.96052628 Swiss Franc</t>
  </si>
  <si>
    <t>0.96052628</t>
  </si>
  <si>
    <t>1.04109593</t>
  </si>
  <si>
    <t>1 Swiss Franc = 1.04109593 Euro</t>
  </si>
  <si>
    <t>1 EUR = 411.59111877 HUF</t>
  </si>
  <si>
    <t>1 Euro = 411.59111877 Hungarian Forint</t>
  </si>
  <si>
    <t>411.59111877</t>
  </si>
  <si>
    <t>0.00242960</t>
  </si>
  <si>
    <t>1 Hungarian Forint = 0.00242960 Euro</t>
  </si>
  <si>
    <t>1 EUR = 2.79818534 BYN</t>
  </si>
  <si>
    <t>1 Euro = 2.79818534 Belarussian Ruble</t>
  </si>
  <si>
    <t>2.79818534</t>
  </si>
  <si>
    <t>0.35737447</t>
  </si>
  <si>
    <t>1 Belarussian Ruble = 0.35737447 Euro</t>
  </si>
  <si>
    <t>1 EUR = 10.25027927 TJS</t>
  </si>
  <si>
    <t>1 Euro = 10.25027927 Tajikistan Ruble</t>
  </si>
  <si>
    <t>10.25027927</t>
  </si>
  <si>
    <t>0.09755832</t>
  </si>
  <si>
    <t>1 Tajikistan Ruble = 0.09755832 Euro</t>
  </si>
  <si>
    <t>1 EUR = 56.83085369 GMD</t>
  </si>
  <si>
    <t>1 Euro = 56.83085369 Gambian dalasi</t>
  </si>
  <si>
    <t>56.83085369</t>
  </si>
  <si>
    <t>0.01759608</t>
  </si>
  <si>
    <t>1 Gambian dalasi = 0.01759608 Euro</t>
  </si>
  <si>
    <t>1 EUR = 112.98994789 CVE</t>
  </si>
  <si>
    <t>1 Euro = 112.98994789 Cape Verde escudo</t>
  </si>
  <si>
    <t>112.98994789</t>
  </si>
  <si>
    <t>0.00885034</t>
  </si>
  <si>
    <t>1 Cape Verde escudo = 0.00885034 Euro</t>
  </si>
  <si>
    <t>1 EUR = 16.68811032 ZMW</t>
  </si>
  <si>
    <t>1 Euro = 16.68811032 Zambian kwacha</t>
  </si>
  <si>
    <t>16.68811032</t>
  </si>
  <si>
    <t>0.05992290</t>
  </si>
  <si>
    <t>1 Zambian kwacha = 0.05992290 Euro</t>
  </si>
  <si>
    <t>1 EUR = 4,244.64901915 KHR</t>
  </si>
  <si>
    <t>1 Euro = 4,244.64901915 Cambodian riel</t>
  </si>
  <si>
    <t>4,244.64901915</t>
  </si>
  <si>
    <t>0.00023559</t>
  </si>
  <si>
    <t>1 Cambodian riel = 0.00023559 Euro</t>
  </si>
  <si>
    <t>1 EUR = 10.58744077 SEK</t>
  </si>
  <si>
    <t>1 Euro = 10.58744077 Swedish Krona</t>
  </si>
  <si>
    <t>10.58744077</t>
  </si>
  <si>
    <t>0.09445153</t>
  </si>
  <si>
    <t>1 Swedish Krona = 0.09445153 Euro</t>
  </si>
  <si>
    <t>1 EUR = 1.38741366 SGD</t>
  </si>
  <si>
    <t>1 Euro = 1.38741366 Singapore Dollar</t>
  </si>
  <si>
    <t>1.38741366</t>
  </si>
  <si>
    <t>0.72076557</t>
  </si>
  <si>
    <t>1 Singapore Dollar = 0.72076557 Euro</t>
  </si>
  <si>
    <t>1 EUR = 140.43956825 ISK</t>
  </si>
  <si>
    <t>1 Euro = 140.43956825 Icelandic Krona</t>
  </si>
  <si>
    <t>140.43956825</t>
  </si>
  <si>
    <t>0.00712050</t>
  </si>
  <si>
    <t>1 Icelandic Krona = 0.00712050 Euro</t>
  </si>
  <si>
    <t>1 EUR = 4.86667971 LYD</t>
  </si>
  <si>
    <t>1 Euro = 4.86667971 Libyan Dinar</t>
  </si>
  <si>
    <t>4.86667971</t>
  </si>
  <si>
    <t>0.20547890</t>
  </si>
  <si>
    <t>1 Libyan Dinar = 0.20547890 Euro</t>
  </si>
  <si>
    <t>1 EUR = 922.96457323 CLP</t>
  </si>
  <si>
    <t>1 Euro = 922.96457323 Chilean Peso</t>
  </si>
  <si>
    <t>922.96457323</t>
  </si>
  <si>
    <t>0.00108347</t>
  </si>
  <si>
    <t>1 Chilean Peso = 0.00108347 Euro</t>
  </si>
  <si>
    <t>1 EUR = 1.03633531 BSD</t>
  </si>
  <si>
    <t>1 Euro = 1.03633531 Bahamian Dollar</t>
  </si>
  <si>
    <t>1.03633531</t>
  </si>
  <si>
    <t>0.96493866</t>
  </si>
  <si>
    <t>1 Bahamian Dollar = 0.96493866 Euro</t>
  </si>
  <si>
    <t>1 EUR = 121.60275788 XPF</t>
  </si>
  <si>
    <t>1 Euro = 121.60275788 CFP Franc</t>
  </si>
  <si>
    <t>121.60275788</t>
  </si>
  <si>
    <t>0.00822350</t>
  </si>
  <si>
    <t>1 CFP Franc = 0.00822350 Euro</t>
  </si>
  <si>
    <t>1 EUR = 119.38241028 ALL</t>
  </si>
  <si>
    <t>1 Euro = 119.38241028 Albanian lek</t>
  </si>
  <si>
    <t>119.38241028</t>
  </si>
  <si>
    <t>0.00837644</t>
  </si>
  <si>
    <t>1 Albanian lek = 0.00837644 Euro</t>
  </si>
  <si>
    <t>1 EUR = 13.38413552 SCR</t>
  </si>
  <si>
    <t>1 Euro = 13.38413552 Seychelles rupee</t>
  </si>
  <si>
    <t>13.38413552</t>
  </si>
  <si>
    <t>0.07471532</t>
  </si>
  <si>
    <t>1 Seychelles rupee = 0.07471532 Euro</t>
  </si>
  <si>
    <t>1 EUR = 54.05176767 DOP</t>
  </si>
  <si>
    <t>1 Euro = 54.05176767 Dominican Peso</t>
  </si>
  <si>
    <t>54.05176767</t>
  </si>
  <si>
    <t>0.01850078</t>
  </si>
  <si>
    <t>1 Dominican Peso = 0.01850078 Euro</t>
  </si>
  <si>
    <t>1 EUR = 6.80776556 CNY</t>
  </si>
  <si>
    <t>1 Euro = 6.80776556 Chinese Yuan</t>
  </si>
  <si>
    <t>6.80776556</t>
  </si>
  <si>
    <t>0.14689107</t>
  </si>
  <si>
    <t>1 Chinese Yuan = 0.14689107 Euro</t>
  </si>
  <si>
    <t>1 EUR = 19.93855720 MXN</t>
  </si>
  <si>
    <t>1 Euro = 19.93855720 Mexican Peso</t>
  </si>
  <si>
    <t>19.93855720</t>
  </si>
  <si>
    <t>0.05015408</t>
  </si>
  <si>
    <t>1 Mexican Peso = 0.05015408 Euro</t>
  </si>
  <si>
    <t>1 EUR = 466.92502289 KZT</t>
  </si>
  <si>
    <t>1 Euro = 466.92502289 Kazakhstani Tenge</t>
  </si>
  <si>
    <t>466.92502289</t>
  </si>
  <si>
    <t>0.00214167</t>
  </si>
  <si>
    <t>1 Kazakhstani Tenge = 0.00214167 Euro</t>
  </si>
  <si>
    <t>1 EUR = 129.32068006 HTG</t>
  </si>
  <si>
    <t>1 Euro = 129.32068006 Haitian gourde</t>
  </si>
  <si>
    <t>129.32068006</t>
  </si>
  <si>
    <t>0.00773272</t>
  </si>
  <si>
    <t>1 Haitian gourde = 0.00773272 Euro</t>
  </si>
  <si>
    <t>1 EUR = 1.43033811 BND</t>
  </si>
  <si>
    <t>1 Euro = 1.43033811 Brunei Dollar</t>
  </si>
  <si>
    <t>1.43033811</t>
  </si>
  <si>
    <t>0.69913540</t>
  </si>
  <si>
    <t>1 Brunei Dollar = 0.69913540 Euro</t>
  </si>
  <si>
    <t>1 EUR = 502.62643764 KMF</t>
  </si>
  <si>
    <t>1 Euro = 502.62643764 	Comoro franc</t>
  </si>
  <si>
    <t>502.62643764</t>
  </si>
  <si>
    <t>0.00198955</t>
  </si>
  <si>
    <t>1 	Comoro franc = 0.00198955 Euro</t>
  </si>
  <si>
    <t>1 EUR = 17.06955284 LSL</t>
  </si>
  <si>
    <t>1 Euro = 17.06955284 Lesotho loti</t>
  </si>
  <si>
    <t>17.06955284</t>
  </si>
  <si>
    <t>0.05858384</t>
  </si>
  <si>
    <t>1 Lesotho loti = 0.05858384 Euro</t>
  </si>
  <si>
    <t>1 EUR = 2,415.09590478 TZS</t>
  </si>
  <si>
    <t>1 Euro = 2,415.09590478 Tanzanian shilling</t>
  </si>
  <si>
    <t>2,415.09590478</t>
  </si>
  <si>
    <t>0.00041406</t>
  </si>
  <si>
    <t>1 Tanzanian shilling = 0.00041406 Euro</t>
  </si>
  <si>
    <t>1 EUR = 1.82385276 ANG</t>
  </si>
  <si>
    <t>1 Euro = 1.82385276 Neth. Antillean Guilder</t>
  </si>
  <si>
    <t>1.82385276</t>
  </si>
  <si>
    <t>0.54828988</t>
  </si>
  <si>
    <t>1 Neth. Antillean Guilder = 0.54828988 Euro</t>
  </si>
  <si>
    <t>1 EUR = 1,505.73710820 LBP</t>
  </si>
  <si>
    <t>1 Euro = 1,505.73710820 Lebanese Pound</t>
  </si>
  <si>
    <t>1,505.73710820</t>
  </si>
  <si>
    <t>0.00066413</t>
  </si>
  <si>
    <t>1 Lebanese Pound = 0.00066413 Euro</t>
  </si>
  <si>
    <t>1 EUR = 658.59336203 XAF</t>
  </si>
  <si>
    <t>1 Euro = 658.59336203 Central African CFA Franc</t>
  </si>
  <si>
    <t>658.59336203</t>
  </si>
  <si>
    <t>0.00151839</t>
  </si>
  <si>
    <t>1 Central African CFA Franc = 0.00151839 Euro</t>
  </si>
  <si>
    <t>1 EUR = 406.83583022 AMD</t>
  </si>
  <si>
    <t>1 Euro = 406.83583022 Armenia Dram</t>
  </si>
  <si>
    <t>406.83583022</t>
  </si>
  <si>
    <t>0.00245799</t>
  </si>
  <si>
    <t>1 Armenia Dram = 0.00245799 Euro</t>
  </si>
  <si>
    <t>1 EUR = 40.84346056 UYU</t>
  </si>
  <si>
    <t>1 Euro = 40.84346056 Uruguayan Peso</t>
  </si>
  <si>
    <t>40.84346056</t>
  </si>
  <si>
    <t>0.02448372</t>
  </si>
  <si>
    <t>1 Uruguayan Peso = 0.02448372 Euro</t>
  </si>
  <si>
    <t>1 EUR = 156.70409166 JMD</t>
  </si>
  <si>
    <t>1 Euro = 156.70409166 Jamaican Dollar</t>
  </si>
  <si>
    <t>156.70409166</t>
  </si>
  <si>
    <t>0.00638145</t>
  </si>
  <si>
    <t>1 Jamaican Dollar = 0.00638145 Euro</t>
  </si>
  <si>
    <t>1 EUR = 678.32455231 SSP</t>
  </si>
  <si>
    <t>1 Euro = 678.32455231 South Sudanese pound</t>
  </si>
  <si>
    <t>678.32455231</t>
  </si>
  <si>
    <t>0.00147422</t>
  </si>
  <si>
    <t>1 South Sudanese pound = 0.00147422 Euro</t>
  </si>
  <si>
    <t>1 EUR = 39.01612078 MRU</t>
  </si>
  <si>
    <t>1 Euro = 39.01612078 Mauritanian ouguiya</t>
  </si>
  <si>
    <t>39.01612078</t>
  </si>
  <si>
    <t>0.02563043</t>
  </si>
  <si>
    <t>1 Mauritanian ouguiya = 0.02563043 Euro</t>
  </si>
  <si>
    <t>1 EUR = 3,312.17934550 MNT</t>
  </si>
  <si>
    <t>1 Euro = 3,312.17934550 Mongolian togrog</t>
  </si>
  <si>
    <t>3,312.17934550</t>
  </si>
  <si>
    <t>0.00030192</t>
  </si>
  <si>
    <t>1 Mongolian togrog = 0.00030192 Euro</t>
  </si>
  <si>
    <t>1 EUR = 0.71316848 JOD</t>
  </si>
  <si>
    <t>1 Euro = 0.71316848 Jordanian Dinar</t>
  </si>
  <si>
    <t>0.71316848</t>
  </si>
  <si>
    <t>1.40219320</t>
  </si>
  <si>
    <t>1 Jordanian Dinar = 1.40219320 Euro</t>
  </si>
  <si>
    <t>1 EUR = 55.80085875 PHP</t>
  </si>
  <si>
    <t>1 Euro = 55.80085875 Philippine Peso</t>
  </si>
  <si>
    <t>55.80085875</t>
  </si>
  <si>
    <t>0.01792087</t>
  </si>
  <si>
    <t>1 Philippine Peso = 0.01792087 Euro</t>
  </si>
  <si>
    <t>1 EUR = 18.02801383 TRY</t>
  </si>
  <si>
    <t>1 Euro = 18.02801383 Turkish Lira</t>
  </si>
  <si>
    <t>18.02801383</t>
  </si>
  <si>
    <t>0.05546923</t>
  </si>
  <si>
    <t>1 Turkish Lira = 0.05546923 Euro</t>
  </si>
  <si>
    <t>1 EUR = 23,327.99321521 VND</t>
  </si>
  <si>
    <t>1 Euro = 23,327.99321521 Vietnamese Dong</t>
  </si>
  <si>
    <t>23,327.99321521</t>
  </si>
  <si>
    <t>0.00004287</t>
  </si>
  <si>
    <t>1 Vietnamese Dong = 0.00004287 Euro</t>
  </si>
  <si>
    <t>1 EUR = 83.00191875 KGS</t>
  </si>
  <si>
    <t>1 Euro = 83.00191875 Kyrgyzstan Som</t>
  </si>
  <si>
    <t>83.00191875</t>
  </si>
  <si>
    <t>0.01204791</t>
  </si>
  <si>
    <t>1 Kyrgyzstan Som = 0.01204791 Euro</t>
  </si>
  <si>
    <t>1 EUR = 4,275.02217850 MGA</t>
  </si>
  <si>
    <t>1 Euro = 4,275.02217850 Malagasy ariary</t>
  </si>
  <si>
    <t>4,275.02217850</t>
  </si>
  <si>
    <t>0.00023392</t>
  </si>
  <si>
    <t>1 Malagasy ariary = 0.00023392 Euro</t>
  </si>
  <si>
    <t>1 EUR = 25.07594331 SRD</t>
  </si>
  <si>
    <t>1 Euro = 25.07594331 Surinamese dollar</t>
  </si>
  <si>
    <t>25.07594331</t>
  </si>
  <si>
    <t>0.03987886</t>
  </si>
  <si>
    <t>1 Surinamese dollar = 0.03987886 Euro</t>
  </si>
  <si>
    <t>1 EUR = 9.81210182 GHS</t>
  </si>
  <si>
    <t>1 Euro = 9.81210182 Ghanaian Cedi</t>
  </si>
  <si>
    <t>9.81210182</t>
  </si>
  <si>
    <t>0.10191496</t>
  </si>
  <si>
    <t>1 Ghanaian Cedi = 0.10191496 Euro</t>
  </si>
  <si>
    <t>1 EUR = 1.03633531 CUP</t>
  </si>
  <si>
    <t>1 Euro = 1.03633531 Cuban peso</t>
  </si>
  <si>
    <t>1 Cuban peso = 0.96493866 Euro</t>
  </si>
  <si>
    <t>1 EUR = 1.60489896 NZD</t>
  </si>
  <si>
    <t>1 Euro = 1.60489896 New Zealand Dollar</t>
  </si>
  <si>
    <t>1.60489896</t>
  </si>
  <si>
    <t>0.62309219</t>
  </si>
  <si>
    <t>1 New Zealand Dollar = 0.62309219 Euro</t>
  </si>
  <si>
    <t>1 EUR = 24.71543212 CZK</t>
  </si>
  <si>
    <t>1 Euro = 24.71543212 Czech Koruna</t>
  </si>
  <si>
    <t>24.71543212</t>
  </si>
  <si>
    <t>0.04046055</t>
  </si>
  <si>
    <t>1 Czech Koruna = 0.04046055 Euro</t>
  </si>
  <si>
    <t>1 EUR = 60.31363603 RUB</t>
  </si>
  <si>
    <t>1 Euro = 60.31363603 Russian Rouble</t>
  </si>
  <si>
    <t>60.31363603</t>
  </si>
  <si>
    <t>0.01658000</t>
  </si>
  <si>
    <t>1 Russian Rouble = 0.01658000 Euro</t>
  </si>
  <si>
    <t>1 EUR = 115.08504670 RSD</t>
  </si>
  <si>
    <t>1 Euro = 115.08504670 Serbian Dinar</t>
  </si>
  <si>
    <t>115.08504670</t>
  </si>
  <si>
    <t>0.00868923</t>
  </si>
  <si>
    <t>1 Serbian Dinar = 0.00868923 Euro</t>
  </si>
  <si>
    <t>1 EUR = 37.22332395 NIO</t>
  </si>
  <si>
    <t>1 Euro = 37.22332395 Nicaraguan Córdoba</t>
  </si>
  <si>
    <t>37.22332395</t>
  </si>
  <si>
    <t>0.02686488</t>
  </si>
  <si>
    <t>1 Nicaraguan Córdoba = 0.02686488 Euro</t>
  </si>
  <si>
    <t>1 EUR = 8.42940881 SBD</t>
  </si>
  <si>
    <t>1 Euro = 8.42940881 Solomon Islands dollar</t>
  </si>
  <si>
    <t>8.42940881</t>
  </si>
  <si>
    <t>0.11863228</t>
  </si>
  <si>
    <t>1 Solomon Islands dollar = 0.11863228 Euro</t>
  </si>
  <si>
    <t>1 EUR = 1,063.76024829 MWK</t>
  </si>
  <si>
    <t>1 Euro = 1,063.76024829 Malawian kwacha</t>
  </si>
  <si>
    <t>1,063.76024829</t>
  </si>
  <si>
    <t>0.00094006</t>
  </si>
  <si>
    <t>1 Malawian kwacha = 0.00094006 Euro</t>
  </si>
  <si>
    <t>1 EUR = 259.13439577 YER</t>
  </si>
  <si>
    <t>1 Euro = 259.13439577 Yemeni rial</t>
  </si>
  <si>
    <t>259.13439577</t>
  </si>
  <si>
    <t>0.00385900</t>
  </si>
  <si>
    <t>1 Yemeni rial = 0.00385900 Euro</t>
  </si>
  <si>
    <t>1 EUR = 9.71011086 NOK</t>
  </si>
  <si>
    <t>1 Euro = 9.71011086 Norwegian Krone</t>
  </si>
  <si>
    <t>9.71011086</t>
  </si>
  <si>
    <t>0.10298544</t>
  </si>
  <si>
    <t>1 Norwegian Krone = 0.10298544 Euro</t>
  </si>
  <si>
    <t>1 EUR = 3.69820046 QAR</t>
  </si>
  <si>
    <t>1 Euro = 3.69820046 Qatari Rial</t>
  </si>
  <si>
    <t>3.69820046</t>
  </si>
  <si>
    <t>0.27040178</t>
  </si>
  <si>
    <t>1 Qatari Rial = 0.27040178 Euro</t>
  </si>
  <si>
    <t>1 EUR = 4.89581591 RON</t>
  </si>
  <si>
    <t>1 Euro = 4.89581591 Romanian New Leu</t>
  </si>
  <si>
    <t>4.89581591</t>
  </si>
  <si>
    <t>0.20425605</t>
  </si>
  <si>
    <t>1 Romanian New Leu = 0.20425605 Euro</t>
  </si>
  <si>
    <t>1 EUR = 144.52972430 DZD</t>
  </si>
  <si>
    <t>1 Euro = 144.52972430 Algerian Dinar</t>
  </si>
  <si>
    <t>144.52972430</t>
  </si>
  <si>
    <t>0.00691899</t>
  </si>
  <si>
    <t>1 Algerian Dinar = 0.00691899 Euro</t>
  </si>
  <si>
    <t>1 EUR = 138.22161680 ARS</t>
  </si>
  <si>
    <t>1 Euro = 138.22161680 Argentine Peso</t>
  </si>
  <si>
    <t>138.22161680</t>
  </si>
  <si>
    <t>0.00723476</t>
  </si>
  <si>
    <t>1 Argentine Peso = 0.00723476 Euro</t>
  </si>
  <si>
    <t>1 EUR = 25.22150288 STN</t>
  </si>
  <si>
    <t>1 Euro = 25.22150288 São Tomé and Príncipe Dobra</t>
  </si>
  <si>
    <t>25.22150288</t>
  </si>
  <si>
    <t>0.03964871</t>
  </si>
  <si>
    <t>1 São Tomé and Príncipe Dobra = 0.03964871 Euro</t>
  </si>
  <si>
    <t>1 EUR = 2,135.60089167 BIF</t>
  </si>
  <si>
    <t>1 Euro = 2,135.60089167 Burundian franc</t>
  </si>
  <si>
    <t>2,135.60089167</t>
  </si>
  <si>
    <t>0.00046825</t>
  </si>
  <si>
    <t>1 Burundian franc = 0.00046825 Euro</t>
  </si>
  <si>
    <t>1 EUR = 2,174.46533010 MMK</t>
  </si>
  <si>
    <t>1 Euro = 2,174.46533010 Myanma Kyat</t>
  </si>
  <si>
    <t>2,174.46533010</t>
  </si>
  <si>
    <t>0.00045988</t>
  </si>
  <si>
    <t>1 Myanma Kyat = 0.00045988 Euro</t>
  </si>
  <si>
    <t>1 EUR = 47.41542456 MUR</t>
  </si>
  <si>
    <t>1 Euro = 47.41542456 Mauritian Rupee</t>
  </si>
  <si>
    <t>47.41542456</t>
  </si>
  <si>
    <t>0.02109018</t>
  </si>
  <si>
    <t>1 Mauritian Rupee = 0.02109018 Euro</t>
  </si>
  <si>
    <t>1 EUR = 6.15564689 VES</t>
  </si>
  <si>
    <t>1 Euro = 6.15564689 Venezuelan Bolivar</t>
  </si>
  <si>
    <t>6.15564689</t>
  </si>
  <si>
    <t>0.16245246</t>
  </si>
  <si>
    <t>1 Venezuelan Bolivar = 0.16245246 Euro</t>
  </si>
  <si>
    <t>1 EUR = 94.63606271 BDT</t>
  </si>
  <si>
    <t>1 Euro = 94.63606271 Bangladeshi taka</t>
  </si>
  <si>
    <t>94.63606271</t>
  </si>
  <si>
    <t>0.01056680</t>
  </si>
  <si>
    <t>1 Bangladeshi taka = 0.01056680 Euro</t>
  </si>
  <si>
    <t>1 EUR = 1,333.45869262 KRW</t>
  </si>
  <si>
    <t>1 Euro = 1,333.45869262 South Korean Won</t>
  </si>
  <si>
    <t>1,333.45869262</t>
  </si>
  <si>
    <t>0.00074993</t>
  </si>
  <si>
    <t>1 South Korean Won = 0.00074993 Euro</t>
  </si>
  <si>
    <t>1 EUR = 36.55058903 UAH</t>
  </si>
  <si>
    <t>1 Euro = 36.55058903 Ukrainian Hryvnia</t>
  </si>
  <si>
    <t>36.55058903</t>
  </si>
  <si>
    <t>0.02735934</t>
  </si>
  <si>
    <t>1 Ukrainian Hryvnia = 0.02735934 Euro</t>
  </si>
  <si>
    <t>1 EUR = 656.91562539 CRC</t>
  </si>
  <si>
    <t>1 Euro = 656.91562539 Costa Rican Colón</t>
  </si>
  <si>
    <t>656.91562539</t>
  </si>
  <si>
    <t>0.00152227</t>
  </si>
  <si>
    <t>1 Costa Rican Colón = 0.00152227 Euro</t>
  </si>
  <si>
    <t>1 EUR = 2.08756270 BZD</t>
  </si>
  <si>
    <t>1 Euro = 2.08756270 Belize dollar</t>
  </si>
  <si>
    <t>2.08756270</t>
  </si>
  <si>
    <t>0.47902753</t>
  </si>
  <si>
    <t>1 Belize dollar = 0.47902753 Euro</t>
  </si>
  <si>
    <t>1 EUR = 8,933.59774872 GNF</t>
  </si>
  <si>
    <t>1 Euro = 8,933.59774872 Guinean franc</t>
  </si>
  <si>
    <t>8,933.59774872</t>
  </si>
  <si>
    <t>0.00011194</t>
  </si>
  <si>
    <t>1 Guinean franc = 0.00011194 Euro</t>
  </si>
  <si>
    <t>1 EUR = 17.06955284 SZL</t>
  </si>
  <si>
    <t>1 Euro = 17.06955284 Swazi lilangeni</t>
  </si>
  <si>
    <t>1 Swazi lilangeni = 0.05858384 Euro</t>
  </si>
  <si>
    <t>1 EUR = 588.75028277 SOS</t>
  </si>
  <si>
    <t>1 Euro = 588.75028277 Somali shilling</t>
  </si>
  <si>
    <t>588.75028277</t>
  </si>
  <si>
    <t>0.00169851</t>
  </si>
  <si>
    <t>1 Somali shilling = 0.00169851 Euro</t>
  </si>
  <si>
    <t>1 EUR = 3.66499262 AED</t>
  </si>
  <si>
    <t>1 Euro = 3.66499262 U.A.E Dirham</t>
  </si>
  <si>
    <t>3.66499262</t>
  </si>
  <si>
    <t>0.27285185</t>
  </si>
  <si>
    <t>1 U.A.E Dirham = 0.27285185 Euro</t>
  </si>
  <si>
    <t>1 EUR = 14,823.75002010 IDR</t>
  </si>
  <si>
    <t>1 Euro = 14,823.75002010 Indonesian Rupiah</t>
  </si>
  <si>
    <t>14,823.75002010</t>
  </si>
  <si>
    <t>0.00006746</t>
  </si>
  <si>
    <t>1 Indonesian Rupiah = 0.00006746 Euro</t>
  </si>
  <si>
    <t>1 EUR = 16.94380162 ZAR</t>
  </si>
  <si>
    <t>1 Euro = 16.94380162 South African Rand</t>
  </si>
  <si>
    <t>16.94380162</t>
  </si>
  <si>
    <t>0.05901863</t>
  </si>
  <si>
    <t>1 South African Rand = 0.05901863 Euro</t>
  </si>
  <si>
    <t>1 EUR = 1.69404014 AZN</t>
  </si>
  <si>
    <t>1 Euro = 1.69404014 Azerbaijan Manat</t>
  </si>
  <si>
    <t>1.69404014</t>
  </si>
  <si>
    <t>0.59030478</t>
  </si>
  <si>
    <t>1 Azerbaijan Manat = 0.59030478 Euro</t>
  </si>
  <si>
    <t>1 EUR = 6,974.65640972 PYG</t>
  </si>
  <si>
    <t>1 Euro = 6,974.65640972 Paraguayan Guaraní</t>
  </si>
  <si>
    <t>6,974.65640972</t>
  </si>
  <si>
    <t>0.00014338</t>
  </si>
  <si>
    <t>1 Paraguayan Guaraní = 0.00014338 Euro</t>
  </si>
  <si>
    <t>1 EUR = 216.79555455 GYD</t>
  </si>
  <si>
    <t>1 Euro = 216.79555455 Guyanese dollar</t>
  </si>
  <si>
    <t>216.79555455</t>
  </si>
  <si>
    <t>0.00461264</t>
  </si>
  <si>
    <t>1 Guyanese dollar = 0.00461264 Euro</t>
  </si>
  <si>
    <t>1 EUR = 1,066.60897022 RWF</t>
  </si>
  <si>
    <t>1 Euro = 1,066.60897022 Rwandan franc</t>
  </si>
  <si>
    <t>1,066.60897022</t>
  </si>
  <si>
    <t>0.00093755</t>
  </si>
  <si>
    <t>1 Rwandan franc = 0.00093755 Euro</t>
  </si>
  <si>
    <t>1 EUR = 15.61409603 ERN</t>
  </si>
  <si>
    <t>1 Euro = 15.61409603 Eritrean nakfa</t>
  </si>
  <si>
    <t>15.61409603</t>
  </si>
  <si>
    <t>0.06404469</t>
  </si>
  <si>
    <t>1 Eritrean nakfa = 0.06404469 Euro</t>
  </si>
  <si>
    <t>1 EUR = 2.73503565 WST</t>
  </si>
  <si>
    <t>1 Euro = 2.73503565 Samoan tala</t>
  </si>
  <si>
    <t>2.73503565</t>
  </si>
  <si>
    <t>0.36562595</t>
  </si>
  <si>
    <t>1 Samoan tala = 0.36562595 Euro</t>
  </si>
  <si>
    <t>1 EUR = 5.09073225 BRL</t>
  </si>
  <si>
    <t>1 Euro = 5.09073225 Brazilian Real</t>
  </si>
  <si>
    <t>5.09073225</t>
  </si>
  <si>
    <t>0.19643539</t>
  </si>
  <si>
    <t>1 Brazilian Real = 0.19643539 Euro</t>
  </si>
  <si>
    <t>1 EUR = 79.45077427 INR</t>
  </si>
  <si>
    <t>1 Euro = 79.45077427 Indian Rupee</t>
  </si>
  <si>
    <t>79.45077427</t>
  </si>
  <si>
    <t>0.01258641</t>
  </si>
  <si>
    <t>1 Indian Rupee = 0.01258641 Euro</t>
  </si>
  <si>
    <t>1 EUR = 129.37974673 NPR</t>
  </si>
  <si>
    <t>1 Euro = 129.37974673 Nepalese Rupee</t>
  </si>
  <si>
    <t>129.37974673</t>
  </si>
  <si>
    <t>0.00772919</t>
  </si>
  <si>
    <t>1 Nepalese Rupee = 0.00772919 Euro</t>
  </si>
  <si>
    <t>1 EUR = 30.02108600 TWD</t>
  </si>
  <si>
    <t xml:space="preserve">1 Euro = 30.02108600 New Taiwan Dollar </t>
  </si>
  <si>
    <t>30.02108600</t>
  </si>
  <si>
    <t>0.03330992</t>
  </si>
  <si>
    <t>1 New Taiwan Dollar  = 0.03330992 Euro</t>
  </si>
  <si>
    <t>1 EUR = 1,458.18329767 IQD</t>
  </si>
  <si>
    <t>1 Euro = 1,458.18329767 Iraqi dinar</t>
  </si>
  <si>
    <t>1,458.18329767</t>
  </si>
  <si>
    <t>0.00068578</t>
  </si>
  <si>
    <t>1 Iraqi dinar = 0.00068578 Euro</t>
  </si>
  <si>
    <t>1 EUR = 91.75769459 AFN</t>
  </si>
  <si>
    <t>1 Euro = 91.75769459 Afghan afghani</t>
  </si>
  <si>
    <t>91.75769459</t>
  </si>
  <si>
    <t>0.01089827</t>
  </si>
  <si>
    <t>1 Afghan afghani = 0.01089827 Euro</t>
  </si>
  <si>
    <t>1 EUR = 17.06345875 NAD</t>
  </si>
  <si>
    <t>1 Euro = 17.06345875 Namibian dollar</t>
  </si>
  <si>
    <t>17.06345875</t>
  </si>
  <si>
    <t>0.05860477</t>
  </si>
  <si>
    <t>1 Namibian dollar = 0.05860477 Euro</t>
  </si>
  <si>
    <t>1 EUR = 2,655.26377531 SYP</t>
  </si>
  <si>
    <t>1 Euro = 2,655.26377531 Syrian pound</t>
  </si>
  <si>
    <t>2,655.26377531</t>
  </si>
  <si>
    <t>0.00037661</t>
  </si>
  <si>
    <t>1 Syrian pound = 0.00037661 Euro</t>
  </si>
  <si>
    <t>1 EUR = 8.36889301 MOP</t>
  </si>
  <si>
    <t>1 Euro = 8.36889301 Macanese pataca</t>
  </si>
  <si>
    <t>8.36889301</t>
  </si>
  <si>
    <t>0.11949012</t>
  </si>
  <si>
    <t>1 Macanese pataca = 0.11949012 Euro</t>
  </si>
  <si>
    <t>1 EUR = 1.99802466 BAM</t>
  </si>
  <si>
    <t>1 Euro = 1.99802466 Bosnia and Herzegovina convertible mark</t>
  </si>
  <si>
    <t>1.99802466</t>
  </si>
  <si>
    <t>0.50049432</t>
  </si>
  <si>
    <t>1 Bosnia and Herzegovina convertible mark = 0.50049432 Euro</t>
  </si>
  <si>
    <t>1 EUR = 7.45484144 DKK</t>
  </si>
  <si>
    <t>1 Euro = 7.45484144 Danish Krone</t>
  </si>
  <si>
    <t>7.45484144</t>
  </si>
  <si>
    <t>0.13414102</t>
  </si>
  <si>
    <t>1 Danish Krone = 0.13414102 Euro</t>
  </si>
  <si>
    <t>1 EUR = 366.86459414 LKR</t>
  </si>
  <si>
    <t>1 Euro = 366.86459414 Sri Lanka Rupee</t>
  </si>
  <si>
    <t>366.86459414</t>
  </si>
  <si>
    <t>0.00272580</t>
  </si>
  <si>
    <t>1 Sri Lanka Rupee = 0.00272580 Euro</t>
  </si>
  <si>
    <t>1 EUR = 3.14994496 TND</t>
  </si>
  <si>
    <t>1 Euro = 3.14994496 Tunisian Dinar</t>
  </si>
  <si>
    <t>3.14994496</t>
  </si>
  <si>
    <t>0.31746586</t>
  </si>
  <si>
    <t>1 Tunisian Dinar = 0.31746586 Euro</t>
  </si>
  <si>
    <t>1 EUR = 1.96058498 BGN</t>
  </si>
  <si>
    <t>1 Euro = 1.96058498 Bulgarian Lev</t>
  </si>
  <si>
    <t>1.96058498</t>
  </si>
  <si>
    <t>0.51005185</t>
  </si>
  <si>
    <t>1 Bulgarian Lev = 0.51005185 Euro</t>
  </si>
  <si>
    <t>1 EUR = 3.84875202 PEN</t>
  </si>
  <si>
    <t>1 Euro = 3.84875202 Peruvian Nuevo Sol</t>
  </si>
  <si>
    <t>3.84875202</t>
  </si>
  <si>
    <t>0.25982448</t>
  </si>
  <si>
    <t>1 Peruvian Nuevo Sol = 0.25982448 Euro</t>
  </si>
  <si>
    <t>1 EUR = 3.49541477 TMT</t>
  </si>
  <si>
    <t>1 Euro = 3.49541477 New Turkmenistan Manat</t>
  </si>
  <si>
    <t>3.49541477</t>
  </si>
  <si>
    <t>0.28608908</t>
  </si>
  <si>
    <t>1 New Turkmenistan Manat = 0.28608908 Euro</t>
  </si>
  <si>
    <t>1 EUR = 9.06749155 SVC</t>
  </si>
  <si>
    <t>1 Euro = 9.06749155 Salvadoran colon</t>
  </si>
  <si>
    <t>9.06749155</t>
  </si>
  <si>
    <t>0.11028408</t>
  </si>
  <si>
    <t>1 Salvadoran colon = 0.11028408 Euro</t>
  </si>
  <si>
    <t>1 EUR = 2.80633832 XCD</t>
  </si>
  <si>
    <t>1 Euro = 2.80633832 East Caribbean Dollar</t>
  </si>
  <si>
    <t>2.80633832</t>
  </si>
  <si>
    <t>0.35633622</t>
  </si>
  <si>
    <t>1 East Caribbean Dollar = 0.35633622 Euro</t>
  </si>
  <si>
    <t>1 EUR = 15,773.84420978 LAK</t>
  </si>
  <si>
    <t>1 Euro = 15,773.84420978 Lao kip</t>
  </si>
  <si>
    <t>15,773.84420978</t>
  </si>
  <si>
    <t>0.00006340</t>
  </si>
  <si>
    <t>1 Lao kip = 0.00006340 Euro</t>
  </si>
  <si>
    <t>1 EUR = 8.01253109 GTQ</t>
  </si>
  <si>
    <t>1 Euro = 8.01253109 Guatemalan Quetzal</t>
  </si>
  <si>
    <t>8.01253109</t>
  </si>
  <si>
    <t>0.12480451</t>
  </si>
  <si>
    <t>1 Guatemalan Quetzal = 0.12480451 Euro</t>
  </si>
  <si>
    <t>1 EUR = 232.92631424 PKR</t>
  </si>
  <si>
    <t>1 Euro = 232.92631424 Pakistani Rupee</t>
  </si>
  <si>
    <t>232.92631424</t>
  </si>
  <si>
    <t>0.00429320</t>
  </si>
  <si>
    <t>1 Pakistani Rupee = 0.00429320 Euro</t>
  </si>
  <si>
    <t>1 EUR = 4.78994395 PLN</t>
  </si>
  <si>
    <t>1 Euro = 4.78994395 Polish Zloty</t>
  </si>
  <si>
    <t>4.78994395</t>
  </si>
  <si>
    <t>0.20877071</t>
  </si>
  <si>
    <t>1 Polish Zloty = 0.20877071 Euro</t>
  </si>
  <si>
    <t>1 EUR = 0.85186378 GIP</t>
  </si>
  <si>
    <t>1 Euro = 0.85186378 Gibraltar pound</t>
  </si>
  <si>
    <t>0.85186378</t>
  </si>
  <si>
    <t>1.17389660</t>
  </si>
  <si>
    <t>1 Gibraltar pound = 1.17389660 Euro</t>
  </si>
  <si>
    <t>1 EUR = 2.75816020 GEL</t>
  </si>
  <si>
    <t>1 Euro = 2.75816020 Georgian lari</t>
  </si>
  <si>
    <t>2.75816020</t>
  </si>
  <si>
    <t>0.36256052</t>
  </si>
  <si>
    <t>1 Georgian lari = 0.36256052 Euro</t>
  </si>
  <si>
    <t>1 EUR = 62.78786137 MKD</t>
  </si>
  <si>
    <t>1 Euro = 62.78786137 Macedonian denar</t>
  </si>
  <si>
    <t>62.78786137</t>
  </si>
  <si>
    <t>0.01592665</t>
  </si>
  <si>
    <t>1 Macedonian denar = 0.01592665 Euro</t>
  </si>
  <si>
    <t>1 EUR = 1.87423034 AWG</t>
  </si>
  <si>
    <t>1 Euro = 1.87423034 Aruban florin</t>
  </si>
  <si>
    <t>1.87423034</t>
  </si>
  <si>
    <t>0.53355235</t>
  </si>
  <si>
    <t>1 Aruban florin = 0.53355235 Euro</t>
  </si>
  <si>
    <t>1 EUR = 442.54396255 AOA</t>
  </si>
  <si>
    <t>1 Euro = 442.54396255 Angolan kwanza</t>
  </si>
  <si>
    <t>442.54396255</t>
  </si>
  <si>
    <t>0.00225966</t>
  </si>
  <si>
    <t>1 Angolan kwanza = 0.00225966 Euro</t>
  </si>
  <si>
    <t>1 EUR = 16.01164086 MVR</t>
  </si>
  <si>
    <t>1 Euro = 16.01164086 Maldivian rufiyaa</t>
  </si>
  <si>
    <t>16.01164086</t>
  </si>
  <si>
    <t>0.06245456</t>
  </si>
  <si>
    <t>1 Maldivian rufiyaa = 0.06245456 Euro</t>
  </si>
  <si>
    <t>1 EUR = 3.73858293 SAR</t>
  </si>
  <si>
    <t>1 Euro = 3.73858293 Saudi Riyal</t>
  </si>
  <si>
    <t>3.73858293</t>
  </si>
  <si>
    <t>0.26748103</t>
  </si>
  <si>
    <t>1 Saudi Riyal = 0.26748103 Euro</t>
  </si>
  <si>
    <t>1 EUR = 7.53060794 HRK</t>
  </si>
  <si>
    <t>1 Euro = 7.53060794 Croatian Kuna</t>
  </si>
  <si>
    <t>7.53060794</t>
  </si>
  <si>
    <t>0.13279140</t>
  </si>
  <si>
    <t>1 Croatian Kuna = 0.13279140 Euro</t>
  </si>
  <si>
    <t>1 EUR = 37.52990579 MRO</t>
  </si>
  <si>
    <t>1 Euro = 37.52990579 Mauritanian Ouguiya</t>
  </si>
  <si>
    <t>37.52990579</t>
  </si>
  <si>
    <t>0.02664542</t>
  </si>
  <si>
    <t>1 Mauritanian Ouguiya = 0.02664542 Euro</t>
  </si>
  <si>
    <t>1 EUR = 4,376.53554671 COP</t>
  </si>
  <si>
    <t>1 Euro = 4,376.53554671 Colombian Peso</t>
  </si>
  <si>
    <t>4,376.53554671</t>
  </si>
  <si>
    <t>0.00022849</t>
  </si>
  <si>
    <t>1 Colombian Peso = 0.00022849 Euro</t>
  </si>
  <si>
    <t>1 EUR = 2.09103329 BBD</t>
  </si>
  <si>
    <t>1 Euro = 2.09103329 Barbadian Dollar</t>
  </si>
  <si>
    <t>2.09103329</t>
  </si>
  <si>
    <t>0.47823246</t>
  </si>
  <si>
    <t>1 Barbadian Dollar = 0.47823246 Euro</t>
  </si>
  <si>
    <t>1 EUR = 184.37197838 DJF</t>
  </si>
  <si>
    <t>1 Euro = 184.37197838 Djiboutian franc</t>
  </si>
  <si>
    <t>184.37197838</t>
  </si>
  <si>
    <t>0.00542382</t>
  </si>
  <si>
    <t>1 Djiboutian franc = 0.00542382 Euro</t>
  </si>
  <si>
    <t>1 EUR = 25.47694454 HNL</t>
  </si>
  <si>
    <t>1 Euro = 25.47694454 Honduran Lempira</t>
  </si>
  <si>
    <t>25.47694454</t>
  </si>
  <si>
    <t>0.03925117</t>
  </si>
  <si>
    <t>1 Honduran Lempira = 0.03925117 Euro</t>
  </si>
  <si>
    <t>1 EUR = 123.85909598 KES</t>
  </si>
  <si>
    <t>1 Euro = 123.85909598 Kenyan shilling</t>
  </si>
  <si>
    <t>123.85909598</t>
  </si>
  <si>
    <t>0.00807369</t>
  </si>
  <si>
    <t>1 Kenyan shilling = 0.00807369 Euro</t>
  </si>
  <si>
    <t>1 EUR = 0.37994300 BHD</t>
  </si>
  <si>
    <t>1 Euro = 0.37994300 Bahrain Dinar</t>
  </si>
  <si>
    <t>0.37994300</t>
  </si>
  <si>
    <t>2.63197373</t>
  </si>
  <si>
    <t>1 Bahrain Dinar = 2.63197373 Euro</t>
  </si>
  <si>
    <t>1 EUR = 19.12165204 EGP</t>
  </si>
  <si>
    <t>1 Euro = 19.12165204 Egyptian Pound</t>
  </si>
  <si>
    <t>19.12165204</t>
  </si>
  <si>
    <t>0.05229674</t>
  </si>
  <si>
    <t>1 Egyptian Pound = 0.05229674 Euro</t>
  </si>
  <si>
    <t>1 EUR = 4.45775028 MYR</t>
  </si>
  <si>
    <t>1 Euro = 4.45775028 Malaysian Ringgit</t>
  </si>
  <si>
    <t>4.45775028</t>
  </si>
  <si>
    <t>0.22432840</t>
  </si>
  <si>
    <t>1 Malaysian Ringgit = 0.22432840 Euro</t>
  </si>
  <si>
    <t>1 EUR = 19.25055871 MDL</t>
  </si>
  <si>
    <t>1 Euro = 19.25055871 Moldova Lei</t>
  </si>
  <si>
    <t>19.25055871</t>
  </si>
  <si>
    <t>0.05194654</t>
  </si>
  <si>
    <t>1 Moldova Lei = 0.05194654 Euro</t>
  </si>
  <si>
    <t>1 EUR = 1.01571864 PAB</t>
  </si>
  <si>
    <t>1 Euro = 1.01571864 Panamanian Balboa</t>
  </si>
  <si>
    <t>1.01571864</t>
  </si>
  <si>
    <t>0.98452461</t>
  </si>
  <si>
    <t>1 Panamanian Balboa = 0.98452461 Euro</t>
  </si>
  <si>
    <t>1 EUR = 2.26794856 FJD</t>
  </si>
  <si>
    <t>1 Euro = 2.26794856 Fiji Dollar</t>
  </si>
  <si>
    <t>2.26794856</t>
  </si>
  <si>
    <t>0.44092711</t>
  </si>
  <si>
    <t>1 Fiji Dollar = 0.44092711 Euro</t>
  </si>
  <si>
    <t>1 EUR = 2,069.93278283 CDF</t>
  </si>
  <si>
    <t>1 Euro = 2,069.93278283 Congolese franc</t>
  </si>
  <si>
    <t>2,069.93278283</t>
  </si>
  <si>
    <t>0.00048311</t>
  </si>
  <si>
    <t>1 Congolese franc = 0.00048311 Euro</t>
  </si>
  <si>
    <t>1 EUR = 66.38159438 MZN</t>
  </si>
  <si>
    <t>1 Euro = 66.38159438 Mozambican metical</t>
  </si>
  <si>
    <t>66.38159438</t>
  </si>
  <si>
    <t>0.01506442</t>
  </si>
  <si>
    <t>1 Mozambican metical = 0.01506442 Euro</t>
  </si>
  <si>
    <t>1 EUR = 3,911.19050373 UGX</t>
  </si>
  <si>
    <t>1 Euro = 3,911.19050373 Ugandan shilling</t>
  </si>
  <si>
    <t>3,911.19050373</t>
  </si>
  <si>
    <t>0.00025568</t>
  </si>
  <si>
    <t>1 Ugandan shilling = 0.00025568 Euro</t>
  </si>
  <si>
    <t>1 EUR = 7.80898245 HKD</t>
  </si>
  <si>
    <t>1 Euro = 7.80898245 Hong Kong Dollar</t>
  </si>
  <si>
    <t>7.80898245</t>
  </si>
  <si>
    <t>0.12805766</t>
  </si>
  <si>
    <t>1 Hong Kong Dollar = 0.12805766 Euro</t>
  </si>
  <si>
    <t>1 EUR = 10.31976105 MAD</t>
  </si>
  <si>
    <t>1 Euro = 10.31976105 Moroccan Dirham</t>
  </si>
  <si>
    <t>10.31976105</t>
  </si>
  <si>
    <t>0.09690147</t>
  </si>
  <si>
    <t>1 Moroccan Dirham = 0.09690147 Euro</t>
  </si>
  <si>
    <t>1 EUR = 658.32584826 XOF</t>
  </si>
  <si>
    <t>1 Euro = 658.32584826 West African CFA Franc</t>
  </si>
  <si>
    <t>658.32584826</t>
  </si>
  <si>
    <t>0.00151900</t>
  </si>
  <si>
    <t>1 West African CFA Franc = 0.00151900 Euro</t>
  </si>
  <si>
    <t>1 EUR = 41,944.82348840 IRR</t>
  </si>
  <si>
    <t>1 Euro = 41,944.82348840 Iranian rial</t>
  </si>
  <si>
    <t>41,944.82348840</t>
  </si>
  <si>
    <t>0.00002384</t>
  </si>
  <si>
    <t>1 Iranian rial = 0.00002384 Euro</t>
  </si>
  <si>
    <t>1 EUR = 6.99386714 BOB</t>
  </si>
  <si>
    <t>1 Euro = 6.99386714 Bolivian Boliviano</t>
  </si>
  <si>
    <t>6.99386714</t>
  </si>
  <si>
    <t>0.14298241</t>
  </si>
  <si>
    <t>1 Bolivian Boliviano = 0.14298241 Euro</t>
  </si>
  <si>
    <t>1 EUR = 158.26075482 LRD</t>
  </si>
  <si>
    <t>1 Euro = 158.26075482 Liberian dollar</t>
  </si>
  <si>
    <t>158.26075482</t>
  </si>
  <si>
    <t>0.00631869</t>
  </si>
  <si>
    <t>1 Liberian dollar = 0.00631869 Euro</t>
  </si>
  <si>
    <t>1 EUR = 590.05861674 SDG</t>
  </si>
  <si>
    <t>1 Euro = 590.05861674 Sudanese pound</t>
  </si>
  <si>
    <t>590.05861674</t>
  </si>
  <si>
    <t>0.00169475</t>
  </si>
  <si>
    <t>1 Sudanese pound = 0.00169475 Euro</t>
  </si>
  <si>
    <t>1 EUR = 2.38866250 TOP</t>
  </si>
  <si>
    <t>1 Euro = 2.38866250 Tongan paʻanga</t>
  </si>
  <si>
    <t>2.38866250</t>
  </si>
  <si>
    <t>0.41864433</t>
  </si>
  <si>
    <t>1 Tongan paʻanga = 0.41864433 Euro</t>
  </si>
  <si>
    <t>1 EUR = 121.30030952 VUV</t>
  </si>
  <si>
    <t>1 Euro = 121.30030952 Vanuatu vatu</t>
  </si>
  <si>
    <t>121.30030952</t>
  </si>
  <si>
    <t>0.00824400</t>
  </si>
  <si>
    <t>1 Vanuatu vatu = 0.00824400 Euro</t>
  </si>
  <si>
    <t>1 EUR = 0.30981795 KWD</t>
  </si>
  <si>
    <t>1 Euro = 0.30981795 Kuwaiti Dinar</t>
  </si>
  <si>
    <t>0.30981795</t>
  </si>
  <si>
    <t>3.22770195</t>
  </si>
  <si>
    <t>1 Kuwaiti Dinar = 3.22770195 Euro</t>
  </si>
  <si>
    <t>1 EUR = 36.00006134 THB</t>
  </si>
  <si>
    <t>1 Euro = 36.00006134 Thai Baht</t>
  </si>
  <si>
    <t>36.00006134</t>
  </si>
  <si>
    <t>0.02777773</t>
  </si>
  <si>
    <t>1 Thai Baht = 0.02777773 Euro</t>
  </si>
  <si>
    <t>1 EUR = 3.26650391 ILS</t>
  </si>
  <si>
    <t>1 Euro = 3.26650391 Israeli New Sheqel</t>
  </si>
  <si>
    <t>3.26650391</t>
  </si>
  <si>
    <t>0.30613770</t>
  </si>
  <si>
    <t>1 Israeli New Sheqel = 0.30613770 Euro</t>
  </si>
  <si>
    <t>1 EUR = 426.92742921 NGN</t>
  </si>
  <si>
    <t>1 Euro = 426.92742921 Nigerian Naira</t>
  </si>
  <si>
    <t>426.92742921</t>
  </si>
  <si>
    <t>0.00234232</t>
  </si>
  <si>
    <t>1 Nigerian Naira = 0.00234232 Euro</t>
  </si>
  <si>
    <t>1 EUR = 10,903.84974746 UZS</t>
  </si>
  <si>
    <t>1 Euro = 10,903.84974746 Uzbekistan Sum</t>
  </si>
  <si>
    <t>10,903.84974746</t>
  </si>
  <si>
    <t>0.00009171</t>
  </si>
  <si>
    <t>1 Uzbekistan Sum = 0.00009171 Euro</t>
  </si>
  <si>
    <t>1 EUR = 54.56021456 ETB</t>
  </si>
  <si>
    <t>1 Euro = 54.56021456 Ethiopian birr</t>
  </si>
  <si>
    <t>54.56021456</t>
  </si>
  <si>
    <t>0.01832837</t>
  </si>
  <si>
    <t>1 Ethiopian birr = 0.01832837 Euro</t>
  </si>
  <si>
    <t>1 EUR = 7.02553990 TTD</t>
  </si>
  <si>
    <t>1 Euro = 7.02553990 Trinidad Tobago Dollar</t>
  </si>
  <si>
    <t>7.02553990</t>
  </si>
  <si>
    <t>0.14233782</t>
  </si>
  <si>
    <t>1 Trinidad Tobago Dollar = 0.14233782 Euro</t>
  </si>
  <si>
    <t>1 EUR = 3.64984711 PGK</t>
  </si>
  <si>
    <t>1 Euro = 3.64984711 Papua New Guinean kina</t>
  </si>
  <si>
    <t>3.64984711</t>
  </si>
  <si>
    <t>0.27398408</t>
  </si>
  <si>
    <t>1 Papua New Guinean kina = 0.27398408 Euro</t>
  </si>
  <si>
    <t>1 EUR = 12.99476562 BWP</t>
  </si>
  <si>
    <t>1 Euro = 12.99476562 Botswana Pula</t>
  </si>
  <si>
    <t>12.99476562</t>
  </si>
  <si>
    <t>0.07695406</t>
  </si>
  <si>
    <t>1 Botswana Pula = 0.07695406 Euro</t>
  </si>
  <si>
    <t>1 EUR = 0.38814758 OMR</t>
  </si>
  <si>
    <t>1 Euro = 0.38814758 Omani Rial</t>
  </si>
  <si>
    <t>0.38814758</t>
  </si>
  <si>
    <t>2.57633962</t>
  </si>
  <si>
    <t>1 Omani Rial = 2.57633962 Euro</t>
  </si>
  <si>
    <t>new system</t>
  </si>
  <si>
    <t>neue Anlage</t>
  </si>
  <si>
    <t>T/h</t>
  </si>
  <si>
    <t>h/y</t>
  </si>
  <si>
    <t>kWh</t>
  </si>
  <si>
    <t>oil</t>
  </si>
  <si>
    <t>natural gas</t>
  </si>
  <si>
    <t>Erdgas</t>
  </si>
  <si>
    <t>Öl</t>
  </si>
  <si>
    <t>hp opex</t>
  </si>
  <si>
    <t>% CAPEX</t>
  </si>
  <si>
    <t>CHF/kW</t>
  </si>
  <si>
    <t>replacing?</t>
  </si>
  <si>
    <t>retrofit</t>
  </si>
  <si>
    <t>Nachrüstung</t>
  </si>
  <si>
    <t>CO2 Tax</t>
  </si>
  <si>
    <t>discounted payback</t>
  </si>
  <si>
    <t>kgCO2/kWh</t>
  </si>
  <si>
    <t>CHF/kWh</t>
  </si>
  <si>
    <t>Arpagaus Fit</t>
  </si>
  <si>
    <t>45% Carnot</t>
  </si>
  <si>
    <t>Jesper Fit</t>
  </si>
  <si>
    <t>Given COP</t>
  </si>
  <si>
    <t>Gegebene COP</t>
  </si>
  <si>
    <t>The password is IES</t>
  </si>
  <si>
    <t>G7</t>
  </si>
  <si>
    <t>!</t>
  </si>
  <si>
    <t>M5</t>
  </si>
  <si>
    <t>M6</t>
  </si>
  <si>
    <t>B2</t>
  </si>
  <si>
    <t>yearly fees</t>
  </si>
  <si>
    <t>CHF/year</t>
  </si>
  <si>
    <t>kWh/year</t>
  </si>
  <si>
    <t>OPEX yearly saving</t>
  </si>
  <si>
    <t>Capital investment</t>
  </si>
  <si>
    <t>Annualized ROI</t>
  </si>
  <si>
    <t>TCO2</t>
  </si>
  <si>
    <t>!E2</t>
  </si>
  <si>
    <t>password is institute</t>
  </si>
  <si>
    <t>biomass</t>
  </si>
  <si>
    <t>Biomass</t>
  </si>
  <si>
    <t>code</t>
  </si>
  <si>
    <t>en</t>
  </si>
  <si>
    <t>de</t>
  </si>
  <si>
    <t>fr</t>
  </si>
  <si>
    <t>deutsch</t>
  </si>
  <si>
    <t>français</t>
  </si>
  <si>
    <t>S1T1</t>
  </si>
  <si>
    <t>S0T1</t>
  </si>
  <si>
    <t>S0T2</t>
  </si>
  <si>
    <t>S0T0</t>
  </si>
  <si>
    <t>General information</t>
  </si>
  <si>
    <t>Allgemeine Informationen</t>
  </si>
  <si>
    <t>Informations générales</t>
  </si>
  <si>
    <t>S1T2</t>
  </si>
  <si>
    <t>Choisissez votre langue:</t>
  </si>
  <si>
    <t>Sprache:</t>
  </si>
  <si>
    <t>Are you looking to replacing an existing fossil-fuel boiler with an heat pump or to install a new heat pump rather than a fossil fuel boiler ?</t>
  </si>
  <si>
    <t>S1T3</t>
  </si>
  <si>
    <t>Möchten Sie einen bestehenden Brennstoffkessel durch eine Wärmepumpe ersetzen oder eine neue Wärmepumpe statt eines Brennstoffkessels installieren?</t>
  </si>
  <si>
    <t>Désirez-vous remplacer un boiler existant avec une pompe à chaleur (PAC) ou installer une nouvelle PAC au lieu d'un boiler?</t>
  </si>
  <si>
    <t>S1T4</t>
  </si>
  <si>
    <t>Currency used:</t>
  </si>
  <si>
    <t>Verwendete Währung:</t>
  </si>
  <si>
    <t>Monnaie utilisée:</t>
  </si>
  <si>
    <t>Which fossil fuel is used for the boiler:</t>
  </si>
  <si>
    <t>Welcher fossile Brennstoff wird für den Heizkessel verwendet:</t>
  </si>
  <si>
    <t>S1T5</t>
  </si>
  <si>
    <t>rénovation</t>
  </si>
  <si>
    <t>nouvelle installation</t>
  </si>
  <si>
    <t>gas naturel</t>
  </si>
  <si>
    <t>mazout</t>
  </si>
  <si>
    <t>biomasse</t>
  </si>
  <si>
    <t>Information about the process</t>
  </si>
  <si>
    <t>Informationen über den Prozess</t>
  </si>
  <si>
    <t>Informations sur le procédé</t>
  </si>
  <si>
    <t>S2T1</t>
  </si>
  <si>
    <t>S2T2</t>
  </si>
  <si>
    <t>Wie hoch ist der Leistung und der Energieverbrauch dieses Prozesses?</t>
  </si>
  <si>
    <t>What are the power and energy consumption of this process?</t>
  </si>
  <si>
    <t>Quels sont les puissances et la consommation énergétique du procédé?</t>
  </si>
  <si>
    <t>Leistung:</t>
  </si>
  <si>
    <t>Betriebsstunden pro Jahr</t>
  </si>
  <si>
    <t>Dampfgeneration:</t>
  </si>
  <si>
    <t>Betriebsstunden pro Tag</t>
  </si>
  <si>
    <t>Power:</t>
  </si>
  <si>
    <t>Working hours per year</t>
  </si>
  <si>
    <t>Steam production:</t>
  </si>
  <si>
    <t>Working hours per day</t>
  </si>
  <si>
    <t>Annual consumption:</t>
  </si>
  <si>
    <t>Working days per year</t>
  </si>
  <si>
    <t>Puissance:</t>
  </si>
  <si>
    <t>Production de vapeur:</t>
  </si>
  <si>
    <t>Consommation annuelle:</t>
  </si>
  <si>
    <t>Heures d'activité par an:</t>
  </si>
  <si>
    <t>Heures d'activité par jour:</t>
  </si>
  <si>
    <t>Jours actifs par an:</t>
  </si>
  <si>
    <t>S2T3</t>
  </si>
  <si>
    <t>S2T4</t>
  </si>
  <si>
    <t>S2T5</t>
  </si>
  <si>
    <t>S2T6</t>
  </si>
  <si>
    <t>S2T7</t>
  </si>
  <si>
    <t>S2T8</t>
  </si>
  <si>
    <t>COP donné</t>
  </si>
  <si>
    <t>What are the temperatures used for this process?</t>
  </si>
  <si>
    <t>Welche Temperaturen werden für diesen Prozess verwendet?</t>
  </si>
  <si>
    <t>Quelles sont les températures du procédé?</t>
  </si>
  <si>
    <t>S2T9</t>
  </si>
  <si>
    <t>Wärmesenke Temperatur:</t>
  </si>
  <si>
    <t>Wärmequelle Temperatur:</t>
  </si>
  <si>
    <t>geschätzter COP:</t>
  </si>
  <si>
    <t>Hot side temperature:</t>
  </si>
  <si>
    <t>Cold side temperature:</t>
  </si>
  <si>
    <t>Choose the refrigerant for the heat pump:</t>
  </si>
  <si>
    <t>Estimated COP:</t>
  </si>
  <si>
    <t>S2T10</t>
  </si>
  <si>
    <t>S2T11</t>
  </si>
  <si>
    <t>S2T12</t>
  </si>
  <si>
    <t>S2T13</t>
  </si>
  <si>
    <t>COP estimé:</t>
  </si>
  <si>
    <t>Température de la source chaude:</t>
  </si>
  <si>
    <t>Température de la source froide:</t>
  </si>
  <si>
    <t>Choisissez le réfrigérant de la PAC:</t>
  </si>
  <si>
    <t>S2T14</t>
  </si>
  <si>
    <t>Given COP:</t>
  </si>
  <si>
    <t>Gegeben COP:</t>
  </si>
  <si>
    <t>COP donné:</t>
  </si>
  <si>
    <t xml:space="preserve">          précédent          </t>
  </si>
  <si>
    <t xml:space="preserve">         suivant           </t>
  </si>
  <si>
    <t xml:space="preserve">          weiter          </t>
  </si>
  <si>
    <t xml:space="preserve">          back          </t>
  </si>
  <si>
    <t xml:space="preserve">          next          </t>
  </si>
  <si>
    <t>Financial Information</t>
  </si>
  <si>
    <t>S3T1</t>
  </si>
  <si>
    <t>Elektrizität CO2 Emissionen:</t>
  </si>
  <si>
    <t>CO2 Steuer:</t>
  </si>
  <si>
    <t>Lebensdauer der Wärmepumpe:</t>
  </si>
  <si>
    <t>Wärmepumpe Preis:</t>
  </si>
  <si>
    <t>Installationskosten für Wärmepumpe:</t>
  </si>
  <si>
    <t>Wartungskosten für Wärmepumpe:</t>
  </si>
  <si>
    <t>Förderung für Wärmepumpe:</t>
  </si>
  <si>
    <t>Diskontzinsen:</t>
  </si>
  <si>
    <t>S3T2</t>
  </si>
  <si>
    <t>S3T3</t>
  </si>
  <si>
    <t>S3T4</t>
  </si>
  <si>
    <t>S3T5</t>
  </si>
  <si>
    <t>S3T6</t>
  </si>
  <si>
    <t>S3T7</t>
  </si>
  <si>
    <t>S3T8</t>
  </si>
  <si>
    <t>S3T9</t>
  </si>
  <si>
    <t>S3T10</t>
  </si>
  <si>
    <t>S3T11</t>
  </si>
  <si>
    <t>S3T12</t>
  </si>
  <si>
    <t>S3T13</t>
  </si>
  <si>
    <t>S3T14</t>
  </si>
  <si>
    <t>S3T15</t>
  </si>
  <si>
    <t>S3T16</t>
  </si>
  <si>
    <t>S3T17</t>
  </si>
  <si>
    <t>S3T18</t>
  </si>
  <si>
    <t>S3T19</t>
  </si>
  <si>
    <t>S3T20</t>
  </si>
  <si>
    <t>Electricity cost:</t>
  </si>
  <si>
    <t>Electricity yearly fee:</t>
  </si>
  <si>
    <t>Electricity CO2 emission:</t>
  </si>
  <si>
    <t>CO2 tax:</t>
  </si>
  <si>
    <t>Lifetime of the heat pump:</t>
  </si>
  <si>
    <t>Heat pump price:</t>
  </si>
  <si>
    <t>Heat pump installation cost:</t>
  </si>
  <si>
    <t>Heat pump maintenance cost:</t>
  </si>
  <si>
    <t>Heat pump subsidies:</t>
  </si>
  <si>
    <t>Discount interest:</t>
  </si>
  <si>
    <t>! If the information is not known try to guess!</t>
  </si>
  <si>
    <t>Frais annuels d'électricité :</t>
  </si>
  <si>
    <t>Taxe CO2 :</t>
  </si>
  <si>
    <t>Durée de vie de la pompe à chaleur :</t>
  </si>
  <si>
    <t>Prix de la pompe à chaleur :</t>
  </si>
  <si>
    <t>Coût d'installation de la pompe à chaleur :</t>
  </si>
  <si>
    <t>Coût d'entretien de la pompe à chaleur :</t>
  </si>
  <si>
    <t>Subventions pour la pompe à chaleur :</t>
  </si>
  <si>
    <t>Prix de la biomasse :</t>
  </si>
  <si>
    <t>Prix de l'électricité :</t>
  </si>
  <si>
    <t>Taux d'actualisation:</t>
  </si>
  <si>
    <t>Émission de CO2 due à l'électricité:</t>
  </si>
  <si>
    <t>années</t>
  </si>
  <si>
    <t>years</t>
  </si>
  <si>
    <t>! Si l'information n'est pas connue, estimez-la !</t>
  </si>
  <si>
    <t xml:space="preserve">     plus d'info     </t>
  </si>
  <si>
    <t xml:space="preserve">        mehr info        </t>
  </si>
  <si>
    <t xml:space="preserve">        more info        </t>
  </si>
  <si>
    <t>Wärmepumpe abgezinste Amortisationszeit:</t>
  </si>
  <si>
    <t>Brenner Jahres Kosten:</t>
  </si>
  <si>
    <t>The payback time is:</t>
  </si>
  <si>
    <t>The discount payback time is:</t>
  </si>
  <si>
    <t>Annualized Return on Investment:</t>
  </si>
  <si>
    <t>CO2 savings:</t>
  </si>
  <si>
    <t>HP yearly cost:</t>
  </si>
  <si>
    <t>Boiler yearly cost:</t>
  </si>
  <si>
    <t>Results of the analysis</t>
  </si>
  <si>
    <t>S4T1</t>
  </si>
  <si>
    <t>S4T2</t>
  </si>
  <si>
    <t>S4T3</t>
  </si>
  <si>
    <t>S4T4</t>
  </si>
  <si>
    <t>S4T5</t>
  </si>
  <si>
    <t>S4T6</t>
  </si>
  <si>
    <t>S4T7</t>
  </si>
  <si>
    <t>Résultats de l'analyse</t>
  </si>
  <si>
    <t>Coût annuel de la PAC:</t>
  </si>
  <si>
    <t>Coût annuel de la chaudière:</t>
  </si>
  <si>
    <t>Le temps de retour sur investissement est de:</t>
  </si>
  <si>
    <t>Le délai de récupération de l'escompte est de:</t>
  </si>
  <si>
    <t>Le retour sur investissement annualisé:</t>
  </si>
  <si>
    <t>Économies de CO2:</t>
  </si>
  <si>
    <t>S0T3</t>
  </si>
  <si>
    <t>Informations financielles</t>
  </si>
  <si>
    <t>S5T1</t>
  </si>
  <si>
    <t>Informationen über Wärmepumpen und Brenner</t>
  </si>
  <si>
    <t>S5T2</t>
  </si>
  <si>
    <t>Choose your language:</t>
  </si>
  <si>
    <t>S5T3</t>
  </si>
  <si>
    <t>Heat pump information:</t>
  </si>
  <si>
    <t>Heat pump installation:</t>
  </si>
  <si>
    <t>Heat pump CAPEX:</t>
  </si>
  <si>
    <t>Heat pump electricity cost:</t>
  </si>
  <si>
    <t>Heat pump maintenance:</t>
  </si>
  <si>
    <t>Heat pump yearly cost:</t>
  </si>
  <si>
    <t>Boiler information:</t>
  </si>
  <si>
    <t>Boiler price:</t>
  </si>
  <si>
    <t>Boiler installation:</t>
  </si>
  <si>
    <t>Boiler CAPEX:</t>
  </si>
  <si>
    <t>Boiler maintenance:</t>
  </si>
  <si>
    <t>CO2 Tax:</t>
  </si>
  <si>
    <t>S5T4</t>
  </si>
  <si>
    <t>S5T5</t>
  </si>
  <si>
    <t>S5T6</t>
  </si>
  <si>
    <t>S5T7</t>
  </si>
  <si>
    <t>S5T8</t>
  </si>
  <si>
    <t>S5T9</t>
  </si>
  <si>
    <t>S5T10</t>
  </si>
  <si>
    <t>S5T11</t>
  </si>
  <si>
    <t>S5T12</t>
  </si>
  <si>
    <t>S5T13</t>
  </si>
  <si>
    <t>S5T14</t>
  </si>
  <si>
    <t>S5T15</t>
  </si>
  <si>
    <t>S5T16</t>
  </si>
  <si>
    <t>S5T17</t>
  </si>
  <si>
    <t>S5T18</t>
  </si>
  <si>
    <t>S5T19</t>
  </si>
  <si>
    <t>Quel est le fioul utilisé par le boiler:</t>
  </si>
  <si>
    <t>Wärmepumpe Preis</t>
  </si>
  <si>
    <t>Wärmepumpe Installation:</t>
  </si>
  <si>
    <t>Brenner Informationen:</t>
  </si>
  <si>
    <t>Brenner Installation:</t>
  </si>
  <si>
    <t>Brenner Invest Kosten:</t>
  </si>
  <si>
    <t>S5T20</t>
  </si>
  <si>
    <t>Coût de l'électricité de la PAC:</t>
  </si>
  <si>
    <t>Informations sur la pompe à chaleur:</t>
  </si>
  <si>
    <t>Prix de la pompe à chaleur:</t>
  </si>
  <si>
    <t>Installation de la pompe à chaleur:</t>
  </si>
  <si>
    <t>Subventions de la pompe à chaleur:</t>
  </si>
  <si>
    <t>CAPEX de la pompe à chaleur:</t>
  </si>
  <si>
    <t>Entretien de la pompe à chaleur:</t>
  </si>
  <si>
    <t>Coût annuel de la pompe à chaleur:</t>
  </si>
  <si>
    <t>Informations sur la chaudière:</t>
  </si>
  <si>
    <t>Prix de la chaudière:</t>
  </si>
  <si>
    <t>Installation de la chaudière:</t>
  </si>
  <si>
    <t>CAPEX de la chaudière:</t>
  </si>
  <si>
    <t>Entretien de la chaudière:</t>
  </si>
  <si>
    <t>Taxe CO2:</t>
  </si>
  <si>
    <t>Brenner Preis:</t>
  </si>
  <si>
    <t>Brenner Wartung:</t>
  </si>
  <si>
    <t>Wärmepumpen Förderung:</t>
  </si>
  <si>
    <t>Wärmepumpen Invest Kosten:</t>
  </si>
  <si>
    <t>Wärmepumpen Elektrizitätkosten:</t>
  </si>
  <si>
    <t>Wärmepumpen Wartung:</t>
  </si>
  <si>
    <t>Wärmepumpen Jahres Kosten:</t>
  </si>
  <si>
    <t>CO2 Einsparung:</t>
  </si>
  <si>
    <t>Jährliche Kapitalverzinsung:</t>
  </si>
  <si>
    <t>Wärmepumpen Amortisation:</t>
  </si>
  <si>
    <t>Resultat der Analyse:</t>
  </si>
  <si>
    <t>Jahre:</t>
  </si>
  <si>
    <t>Elektrizität jahrliche Gebühr:</t>
  </si>
  <si>
    <t>Elektrizitätskost:</t>
  </si>
  <si>
    <t>! Wenn die Information unbekannt ist, bitte schätzen!</t>
  </si>
  <si>
    <t>Finanzielle Informationen:</t>
  </si>
  <si>
    <t>Wählen Sie das Kältemittel für der Wärmepumpe:</t>
  </si>
  <si>
    <t>Betriebstage pro Jahr</t>
  </si>
  <si>
    <t>Jahresenergie:</t>
  </si>
  <si>
    <t xml:space="preserve">         zurück          </t>
  </si>
  <si>
    <t>Wärmepumpen Informationen:</t>
  </si>
  <si>
    <t>The values in this page are only a rough estimation and a more detailed analysis should be made in order to verify the technical and economical feasibility of this case. Please contact ies@ost.ch to discuss this case further.</t>
  </si>
  <si>
    <t>Les valeurs figurant sur cette page ne sont qu'une estimation approximative. Une analyse plus détaillée doit être effectuée afin de vérifier la faisabilité technique et économique de ce cas. Veuillez contacter ies@ost.ch pour discuter de ce cas plus en détail</t>
  </si>
  <si>
    <t>Die Werte auf dieser Seite sind nur eine grobe Schätzung. Eine detailliertere Analyse sollte durchgeführt werden, um die technische und wirtschaftliche Machbarkeit dieses Falles zu überprüfen. Bitte kontaktieren Sie ies@ost.ch.</t>
  </si>
  <si>
    <t>Arpagaus Steam 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</si>
</sst>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
    <numFmt numFmtId="166" formatCode="0.000000"/>
    <numFmt numFmtId="167" formatCode="0.0000"/>
    <numFmt numFmtId="168" formatCode="0.00000"/>
    <numFmt numFmtId="169" formatCode="#,##0.000"/>
  </numFmts>
  <fonts count="41" x14ac:knownFonts="1">
    <font>
      <sz val="11"/>
      <color theme="1"/>
      <name val="Calibri"/>
      <family val="2"/>
      <scheme val="minor"/>
    </font>
    <font>
      <sz val="14"/>
      <color theme="1"/>
      <name val="Calibri"/>
      <family val="2"/>
      <scheme val="minor"/>
    </font>
    <font>
      <sz val="12"/>
      <color theme="1"/>
      <name val="Calibri"/>
      <family val="2"/>
      <scheme val="minor"/>
    </font>
    <font>
      <b/>
      <sz val="14"/>
      <color theme="1"/>
      <name val="Calibri"/>
      <family val="2"/>
      <scheme val="minor"/>
    </font>
    <font>
      <b/>
      <sz val="16"/>
      <color theme="1"/>
      <name val="Calibri"/>
      <family val="2"/>
      <scheme val="minor"/>
    </font>
    <font>
      <sz val="11"/>
      <color theme="0" tint="-0.249977111117893"/>
      <name val="Calibri"/>
      <family val="2"/>
      <scheme val="minor"/>
    </font>
    <font>
      <sz val="11"/>
      <color rgb="FFFF0000"/>
      <name val="Calibri"/>
      <family val="2"/>
      <scheme val="minor"/>
    </font>
    <font>
      <b/>
      <sz val="11"/>
      <color theme="1"/>
      <name val="Calibri"/>
      <family val="2"/>
      <scheme val="minor"/>
    </font>
    <font>
      <sz val="11"/>
      <color theme="0" tint="-0.499984740745262"/>
      <name val="Calibri"/>
      <family val="2"/>
      <scheme val="minor"/>
    </font>
    <font>
      <sz val="11"/>
      <color theme="0" tint="-0.34998626667073579"/>
      <name val="Calibri"/>
      <family val="2"/>
      <scheme val="minor"/>
    </font>
    <font>
      <b/>
      <sz val="11"/>
      <color rgb="FFFF0000"/>
      <name val="Calibri"/>
      <family val="2"/>
      <scheme val="minor"/>
    </font>
    <font>
      <sz val="10"/>
      <color theme="1"/>
      <name val="Calibri"/>
      <family val="2"/>
      <scheme val="minor"/>
    </font>
    <font>
      <u/>
      <sz val="11"/>
      <color theme="10"/>
      <name val="Calibri"/>
      <family val="2"/>
      <scheme val="minor"/>
    </font>
    <font>
      <sz val="14"/>
      <name val="Calibri"/>
      <family val="2"/>
      <scheme val="minor"/>
    </font>
    <font>
      <b/>
      <sz val="14"/>
      <color theme="3"/>
      <name val="Calibri"/>
      <family val="2"/>
      <scheme val="minor"/>
    </font>
    <font>
      <sz val="14"/>
      <color theme="3"/>
      <name val="Calibri"/>
      <family val="2"/>
      <scheme val="minor"/>
    </font>
    <font>
      <sz val="11"/>
      <color theme="0" tint="-0.14999847407452621"/>
      <name val="Calibri"/>
      <family val="2"/>
      <scheme val="minor"/>
    </font>
    <font>
      <sz val="11"/>
      <color theme="1"/>
      <name val="Calibri"/>
      <family val="2"/>
      <scheme val="minor"/>
    </font>
    <font>
      <sz val="11"/>
      <name val="Calibri"/>
      <family val="2"/>
      <scheme val="minor"/>
    </font>
    <font>
      <sz val="10"/>
      <name val="Arial"/>
      <family val="2"/>
    </font>
    <font>
      <b/>
      <sz val="11"/>
      <color rgb="FF000000"/>
      <name val="Calibri"/>
      <family val="2"/>
      <scheme val="minor"/>
    </font>
    <font>
      <sz val="11"/>
      <color rgb="FF000000"/>
      <name val="Calibri"/>
      <family val="2"/>
      <scheme val="minor"/>
    </font>
    <font>
      <sz val="10"/>
      <name val="Helv"/>
    </font>
    <font>
      <b/>
      <sz val="10"/>
      <color theme="0"/>
      <name val="Arial"/>
      <family val="2"/>
    </font>
    <font>
      <vertAlign val="subscript"/>
      <sz val="11"/>
      <color theme="1"/>
      <name val="Calibri"/>
      <family val="2"/>
      <scheme val="minor"/>
    </font>
    <font>
      <sz val="14"/>
      <color theme="0"/>
      <name val="Calibri"/>
      <family val="2"/>
      <scheme val="minor"/>
    </font>
    <font>
      <b/>
      <sz val="11"/>
      <name val="Calibri"/>
      <family val="2"/>
      <scheme val="minor"/>
    </font>
    <font>
      <b/>
      <sz val="14"/>
      <name val="Calibri"/>
      <family val="2"/>
      <scheme val="minor"/>
    </font>
    <font>
      <sz val="14"/>
      <color theme="0" tint="-0.14999847407452621"/>
      <name val="Calibri"/>
      <family val="2"/>
      <scheme val="minor"/>
    </font>
    <font>
      <u/>
      <sz val="14"/>
      <color theme="1"/>
      <name val="Calibri"/>
      <family val="2"/>
      <scheme val="minor"/>
    </font>
    <font>
      <sz val="10"/>
      <name val="Calibri"/>
      <family val="2"/>
      <scheme val="minor"/>
    </font>
    <font>
      <sz val="11"/>
      <color theme="0"/>
      <name val="Calibri"/>
      <family val="2"/>
      <scheme val="minor"/>
    </font>
    <font>
      <sz val="10"/>
      <color theme="0"/>
      <name val="Calibri"/>
      <family val="2"/>
      <scheme val="minor"/>
    </font>
    <font>
      <sz val="9"/>
      <color theme="0" tint="-0.14999847407452621"/>
      <name val="Calibri"/>
      <family val="2"/>
      <scheme val="minor"/>
    </font>
    <font>
      <u/>
      <sz val="11"/>
      <color theme="1"/>
      <name val="Calibri"/>
      <family val="2"/>
      <scheme val="minor"/>
    </font>
    <font>
      <sz val="9"/>
      <color theme="0"/>
      <name val="Calibri"/>
      <family val="2"/>
      <scheme val="minor"/>
    </font>
    <font>
      <sz val="14"/>
      <color rgb="FFFF0000"/>
      <name val="Calibri"/>
      <family val="2"/>
      <scheme val="minor"/>
    </font>
    <font>
      <sz val="10"/>
      <color rgb="FFFF0000"/>
      <name val="Calibri"/>
      <family val="2"/>
      <scheme val="minor"/>
    </font>
    <font>
      <sz val="8"/>
      <name val="Calibri"/>
      <family val="2"/>
      <scheme val="minor"/>
    </font>
    <font>
      <sz val="9"/>
      <color indexed="81"/>
      <name val="Segoe UI"/>
      <family val="2"/>
    </font>
    <font>
      <b/>
      <sz val="9"/>
      <color indexed="81"/>
      <name val="Segoe UI"/>
      <family val="2"/>
    </font>
  </fonts>
  <fills count="1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rgb="FFFFFF00"/>
        <bgColor indexed="64"/>
      </patternFill>
    </fill>
    <fill>
      <patternFill patternType="solid">
        <fgColor rgb="FFFFFFCC"/>
        <bgColor rgb="FF000000"/>
      </patternFill>
    </fill>
    <fill>
      <patternFill patternType="solid">
        <fgColor theme="4" tint="0.79998168889431442"/>
        <bgColor indexed="64"/>
      </patternFill>
    </fill>
    <fill>
      <patternFill patternType="solid">
        <fgColor rgb="FF0070C0"/>
        <bgColor indexed="64"/>
      </patternFill>
    </fill>
    <fill>
      <patternFill patternType="solid">
        <fgColor theme="0" tint="-0.24994659260841701"/>
        <bgColor indexed="64"/>
      </patternFill>
    </fill>
    <fill>
      <patternFill patternType="solid">
        <fgColor theme="7" tint="0.79998168889431442"/>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ck">
        <color theme="0" tint="-0.14993743705557422"/>
      </left>
      <right/>
      <top style="thick">
        <color theme="0" tint="-0.14993743705557422"/>
      </top>
      <bottom style="thick">
        <color theme="0" tint="-0.499984740745262"/>
      </bottom>
      <diagonal/>
    </border>
    <border>
      <left/>
      <right style="thick">
        <color theme="0" tint="-0.499984740745262"/>
      </right>
      <top style="thick">
        <color theme="0" tint="-0.14993743705557422"/>
      </top>
      <bottom style="thick">
        <color theme="0" tint="-0.499984740745262"/>
      </bottom>
      <diagonal/>
    </border>
  </borders>
  <cellStyleXfs count="6">
    <xf numFmtId="0" fontId="0" fillId="0" borderId="0"/>
    <xf numFmtId="0" fontId="12" fillId="0" borderId="0" applyNumberFormat="0" applyFill="0" applyBorder="0" applyAlignment="0" applyProtection="0"/>
    <xf numFmtId="9" fontId="17" fillId="0" borderId="0" applyFont="0" applyFill="0" applyBorder="0" applyAlignment="0" applyProtection="0"/>
    <xf numFmtId="0" fontId="19" fillId="0" borderId="0"/>
    <xf numFmtId="0" fontId="19" fillId="0" borderId="0"/>
    <xf numFmtId="0" fontId="22" fillId="0" borderId="0"/>
  </cellStyleXfs>
  <cellXfs count="276">
    <xf numFmtId="0" fontId="0" fillId="0" borderId="0" xfId="0"/>
    <xf numFmtId="0" fontId="0" fillId="2" borderId="0" xfId="0" applyFill="1"/>
    <xf numFmtId="0" fontId="0" fillId="4" borderId="0" xfId="0" applyFill="1"/>
    <xf numFmtId="0" fontId="0" fillId="4" borderId="1" xfId="0" applyFill="1" applyBorder="1"/>
    <xf numFmtId="0" fontId="0" fillId="4" borderId="2" xfId="0" applyFill="1" applyBorder="1"/>
    <xf numFmtId="0" fontId="0" fillId="4" borderId="3" xfId="0" applyFill="1" applyBorder="1"/>
    <xf numFmtId="0" fontId="0" fillId="4" borderId="4" xfId="0" applyFill="1" applyBorder="1"/>
    <xf numFmtId="0" fontId="0" fillId="4" borderId="0" xfId="0" applyFill="1" applyBorder="1"/>
    <xf numFmtId="0" fontId="0" fillId="4" borderId="5" xfId="0" applyFill="1" applyBorder="1"/>
    <xf numFmtId="0" fontId="0" fillId="4" borderId="6" xfId="0" applyFill="1" applyBorder="1"/>
    <xf numFmtId="0" fontId="0" fillId="4" borderId="8" xfId="0" applyFill="1" applyBorder="1"/>
    <xf numFmtId="0" fontId="0" fillId="4" borderId="7" xfId="0" applyFill="1" applyBorder="1"/>
    <xf numFmtId="0" fontId="1" fillId="4" borderId="0" xfId="0" applyFont="1" applyFill="1" applyBorder="1"/>
    <xf numFmtId="1" fontId="1" fillId="4" borderId="0" xfId="0" applyNumberFormat="1" applyFont="1" applyFill="1" applyBorder="1"/>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0" fontId="5" fillId="3" borderId="0" xfId="0" applyFont="1" applyFill="1" applyBorder="1"/>
    <xf numFmtId="0" fontId="5" fillId="3" borderId="5" xfId="0" applyFont="1" applyFill="1" applyBorder="1"/>
    <xf numFmtId="0" fontId="5" fillId="3" borderId="9" xfId="0" applyFont="1" applyFill="1" applyBorder="1"/>
    <xf numFmtId="164" fontId="5" fillId="3" borderId="10" xfId="0" applyNumberFormat="1" applyFont="1" applyFill="1" applyBorder="1"/>
    <xf numFmtId="0" fontId="5" fillId="3" borderId="11" xfId="0" applyFont="1" applyFill="1" applyBorder="1"/>
    <xf numFmtId="0" fontId="5" fillId="3" borderId="6" xfId="0" applyFont="1" applyFill="1" applyBorder="1"/>
    <xf numFmtId="165" fontId="5" fillId="3" borderId="10" xfId="0" applyNumberFormat="1" applyFont="1" applyFill="1" applyBorder="1"/>
    <xf numFmtId="0" fontId="5" fillId="3" borderId="8" xfId="0" applyFont="1" applyFill="1" applyBorder="1"/>
    <xf numFmtId="0" fontId="5" fillId="3" borderId="7" xfId="0" applyFont="1" applyFill="1" applyBorder="1"/>
    <xf numFmtId="0" fontId="3" fillId="4" borderId="0" xfId="0" applyFont="1" applyFill="1" applyBorder="1" applyAlignment="1">
      <alignment horizontal="right"/>
    </xf>
    <xf numFmtId="0" fontId="0" fillId="4" borderId="5" xfId="0" applyFill="1" applyBorder="1" applyAlignment="1">
      <alignment horizontal="center" vertical="center"/>
    </xf>
    <xf numFmtId="0" fontId="4" fillId="4" borderId="5" xfId="0" applyFont="1" applyFill="1" applyBorder="1" applyAlignment="1">
      <alignment vertical="center"/>
    </xf>
    <xf numFmtId="0" fontId="4" fillId="4" borderId="4" xfId="0" applyFont="1" applyFill="1" applyBorder="1" applyAlignment="1">
      <alignment vertical="center"/>
    </xf>
    <xf numFmtId="0" fontId="6" fillId="4" borderId="5" xfId="0" applyFont="1" applyFill="1" applyBorder="1"/>
    <xf numFmtId="11" fontId="5" fillId="3" borderId="10" xfId="0" applyNumberFormat="1" applyFont="1" applyFill="1" applyBorder="1"/>
    <xf numFmtId="11" fontId="5" fillId="3" borderId="7" xfId="0" applyNumberFormat="1" applyFont="1" applyFill="1" applyBorder="1"/>
    <xf numFmtId="11" fontId="5" fillId="3" borderId="11" xfId="0" applyNumberFormat="1" applyFont="1" applyFill="1" applyBorder="1"/>
    <xf numFmtId="11" fontId="5" fillId="3" borderId="8" xfId="0" applyNumberFormat="1" applyFont="1" applyFill="1" applyBorder="1"/>
    <xf numFmtId="0" fontId="8" fillId="4" borderId="5" xfId="0" applyFont="1" applyFill="1" applyBorder="1"/>
    <xf numFmtId="11" fontId="0" fillId="4" borderId="0" xfId="0" applyNumberFormat="1" applyFill="1"/>
    <xf numFmtId="0" fontId="9" fillId="2" borderId="1" xfId="0" applyFont="1" applyFill="1" applyBorder="1" applyAlignment="1">
      <alignment horizontal="right"/>
    </xf>
    <xf numFmtId="0" fontId="9" fillId="2" borderId="2" xfId="0" applyFont="1" applyFill="1" applyBorder="1"/>
    <xf numFmtId="0" fontId="9" fillId="2" borderId="3" xfId="0" applyFont="1" applyFill="1" applyBorder="1"/>
    <xf numFmtId="0" fontId="9" fillId="2" borderId="4" xfId="0" applyFont="1" applyFill="1" applyBorder="1"/>
    <xf numFmtId="0" fontId="9" fillId="2" borderId="0" xfId="0" applyFont="1" applyFill="1" applyBorder="1"/>
    <xf numFmtId="11" fontId="9" fillId="2" borderId="0" xfId="0" applyNumberFormat="1" applyFont="1" applyFill="1" applyBorder="1"/>
    <xf numFmtId="2" fontId="9" fillId="2" borderId="0" xfId="0" applyNumberFormat="1" applyFont="1" applyFill="1" applyBorder="1"/>
    <xf numFmtId="11" fontId="9" fillId="2" borderId="5" xfId="0" applyNumberFormat="1" applyFont="1" applyFill="1" applyBorder="1"/>
    <xf numFmtId="0" fontId="9" fillId="2" borderId="6" xfId="0" applyFont="1" applyFill="1" applyBorder="1"/>
    <xf numFmtId="0" fontId="9" fillId="2" borderId="7" xfId="0" applyFont="1" applyFill="1" applyBorder="1"/>
    <xf numFmtId="11" fontId="9" fillId="2" borderId="7" xfId="0" applyNumberFormat="1" applyFont="1" applyFill="1" applyBorder="1"/>
    <xf numFmtId="2" fontId="9" fillId="2" borderId="7" xfId="0" applyNumberFormat="1" applyFont="1" applyFill="1" applyBorder="1"/>
    <xf numFmtId="11" fontId="9" fillId="2" borderId="8" xfId="0" applyNumberFormat="1" applyFont="1" applyFill="1" applyBorder="1"/>
    <xf numFmtId="0" fontId="10" fillId="4" borderId="5" xfId="0" applyFont="1" applyFill="1" applyBorder="1"/>
    <xf numFmtId="0" fontId="0" fillId="0" borderId="0" xfId="0" applyAlignment="1">
      <alignment horizontal="right"/>
    </xf>
    <xf numFmtId="167" fontId="0" fillId="0" borderId="0" xfId="0" applyNumberFormat="1"/>
    <xf numFmtId="166" fontId="0" fillId="0" borderId="0" xfId="0" applyNumberFormat="1"/>
    <xf numFmtId="168" fontId="0" fillId="0" borderId="0" xfId="0" applyNumberFormat="1"/>
    <xf numFmtId="165" fontId="0" fillId="0" borderId="0" xfId="0" applyNumberFormat="1"/>
    <xf numFmtId="0" fontId="0" fillId="4" borderId="0" xfId="0" applyFill="1" applyBorder="1" applyAlignment="1">
      <alignment horizontal="right"/>
    </xf>
    <xf numFmtId="165" fontId="0" fillId="4" borderId="0" xfId="0" applyNumberFormat="1" applyFill="1" applyBorder="1" applyAlignment="1">
      <alignment horizontal="left"/>
    </xf>
    <xf numFmtId="0" fontId="2" fillId="4" borderId="1" xfId="0" applyFont="1" applyFill="1" applyBorder="1" applyAlignment="1">
      <alignment horizontal="right"/>
    </xf>
    <xf numFmtId="2" fontId="0" fillId="4" borderId="3" xfId="0" applyNumberFormat="1" applyFill="1" applyBorder="1"/>
    <xf numFmtId="0" fontId="2" fillId="4" borderId="4" xfId="0" applyFont="1" applyFill="1" applyBorder="1" applyAlignment="1">
      <alignment horizontal="right"/>
    </xf>
    <xf numFmtId="2" fontId="0" fillId="4" borderId="5" xfId="0" applyNumberFormat="1" applyFill="1" applyBorder="1"/>
    <xf numFmtId="0" fontId="2" fillId="4" borderId="6" xfId="0" applyFont="1" applyFill="1" applyBorder="1" applyAlignment="1">
      <alignment horizontal="right"/>
    </xf>
    <xf numFmtId="2" fontId="0" fillId="4" borderId="8" xfId="0" applyNumberFormat="1" applyFill="1" applyBorder="1"/>
    <xf numFmtId="0" fontId="7" fillId="4" borderId="9" xfId="0" applyFont="1" applyFill="1" applyBorder="1" applyAlignment="1">
      <alignment horizontal="right"/>
    </xf>
    <xf numFmtId="2" fontId="7" fillId="4" borderId="11" xfId="0" applyNumberFormat="1" applyFont="1" applyFill="1" applyBorder="1"/>
    <xf numFmtId="0" fontId="1" fillId="4" borderId="1" xfId="0" applyFont="1" applyFill="1" applyBorder="1" applyAlignment="1">
      <alignment horizontal="right"/>
    </xf>
    <xf numFmtId="0" fontId="1" fillId="4" borderId="3" xfId="0" applyFont="1" applyFill="1" applyBorder="1"/>
    <xf numFmtId="0" fontId="1" fillId="4" borderId="4" xfId="0" applyFont="1" applyFill="1" applyBorder="1" applyAlignment="1">
      <alignment horizontal="right"/>
    </xf>
    <xf numFmtId="0" fontId="1" fillId="4" borderId="5" xfId="0" applyFont="1" applyFill="1" applyBorder="1"/>
    <xf numFmtId="0" fontId="1" fillId="4" borderId="6" xfId="0" applyFont="1" applyFill="1" applyBorder="1" applyAlignment="1">
      <alignment horizontal="right"/>
    </xf>
    <xf numFmtId="0" fontId="1" fillId="4" borderId="8" xfId="0" applyFont="1" applyFill="1" applyBorder="1"/>
    <xf numFmtId="2" fontId="3" fillId="5" borderId="2" xfId="0" applyNumberFormat="1" applyFont="1" applyFill="1" applyBorder="1"/>
    <xf numFmtId="0" fontId="1" fillId="4" borderId="3" xfId="0" quotePrefix="1" applyFont="1" applyFill="1" applyBorder="1"/>
    <xf numFmtId="1" fontId="1" fillId="4" borderId="7" xfId="0" applyNumberFormat="1" applyFont="1" applyFill="1" applyBorder="1"/>
    <xf numFmtId="2" fontId="1" fillId="4" borderId="0" xfId="0" applyNumberFormat="1" applyFont="1" applyFill="1" applyBorder="1"/>
    <xf numFmtId="2" fontId="1" fillId="4" borderId="3" xfId="0" applyNumberFormat="1" applyFont="1" applyFill="1" applyBorder="1"/>
    <xf numFmtId="2" fontId="1" fillId="4" borderId="5" xfId="0" applyNumberFormat="1" applyFont="1" applyFill="1" applyBorder="1"/>
    <xf numFmtId="0" fontId="3" fillId="4" borderId="9" xfId="0" applyFont="1" applyFill="1" applyBorder="1" applyAlignment="1">
      <alignment horizontal="right"/>
    </xf>
    <xf numFmtId="2" fontId="3" fillId="4" borderId="11" xfId="0" applyNumberFormat="1" applyFont="1" applyFill="1" applyBorder="1"/>
    <xf numFmtId="2" fontId="1" fillId="4" borderId="8" xfId="0" applyNumberFormat="1" applyFont="1" applyFill="1" applyBorder="1"/>
    <xf numFmtId="0" fontId="13" fillId="4" borderId="2" xfId="0" applyFont="1" applyFill="1" applyBorder="1" applyAlignment="1">
      <alignment horizontal="right"/>
    </xf>
    <xf numFmtId="0" fontId="13" fillId="4" borderId="0" xfId="0" applyFont="1" applyFill="1" applyBorder="1" applyProtection="1">
      <protection locked="0"/>
    </xf>
    <xf numFmtId="0" fontId="13" fillId="4" borderId="7" xfId="0" applyFont="1" applyFill="1" applyBorder="1" applyProtection="1">
      <protection locked="0"/>
    </xf>
    <xf numFmtId="0" fontId="14" fillId="6" borderId="0" xfId="0" applyFont="1" applyFill="1" applyBorder="1" applyProtection="1">
      <protection locked="0"/>
    </xf>
    <xf numFmtId="0" fontId="15" fillId="4" borderId="2" xfId="0" applyFont="1" applyFill="1" applyBorder="1" applyAlignment="1">
      <alignment horizontal="right"/>
    </xf>
    <xf numFmtId="0" fontId="15" fillId="4" borderId="0" xfId="0" applyFont="1" applyFill="1" applyBorder="1" applyProtection="1">
      <protection locked="0"/>
    </xf>
    <xf numFmtId="0" fontId="15" fillId="4" borderId="7" xfId="0" applyFont="1" applyFill="1" applyBorder="1" applyProtection="1">
      <protection locked="0"/>
    </xf>
    <xf numFmtId="0" fontId="0" fillId="4" borderId="0" xfId="0" applyFill="1" applyAlignment="1">
      <alignment horizontal="center" vertical="center"/>
    </xf>
    <xf numFmtId="0" fontId="12" fillId="4" borderId="0" xfId="1" applyFill="1"/>
    <xf numFmtId="0" fontId="0" fillId="7" borderId="0" xfId="0" applyFill="1"/>
    <xf numFmtId="165" fontId="5" fillId="3" borderId="0" xfId="0" applyNumberFormat="1" applyFont="1" applyFill="1" applyBorder="1"/>
    <xf numFmtId="1" fontId="5" fillId="3" borderId="0" xfId="0" applyNumberFormat="1" applyFont="1" applyFill="1" applyBorder="1"/>
    <xf numFmtId="11" fontId="5" fillId="3" borderId="0" xfId="0" applyNumberFormat="1" applyFont="1" applyFill="1" applyBorder="1"/>
    <xf numFmtId="0" fontId="5" fillId="3" borderId="0" xfId="0" applyNumberFormat="1" applyFont="1" applyFill="1" applyBorder="1"/>
    <xf numFmtId="0" fontId="7" fillId="0" borderId="0" xfId="0" applyFont="1"/>
    <xf numFmtId="0" fontId="0" fillId="6" borderId="12" xfId="0" applyFill="1" applyBorder="1"/>
    <xf numFmtId="0" fontId="0" fillId="8" borderId="12" xfId="0" applyFill="1" applyBorder="1"/>
    <xf numFmtId="0" fontId="0" fillId="0" borderId="0" xfId="0" applyFont="1"/>
    <xf numFmtId="169" fontId="20" fillId="9" borderId="12" xfId="0" applyNumberFormat="1" applyFont="1" applyFill="1" applyBorder="1" applyAlignment="1">
      <alignment horizontal="center" vertical="center" wrapText="1"/>
    </xf>
    <xf numFmtId="169" fontId="20" fillId="9" borderId="11" xfId="0" applyNumberFormat="1" applyFont="1" applyFill="1" applyBorder="1" applyAlignment="1">
      <alignment horizontal="center" vertical="center" wrapText="1"/>
    </xf>
    <xf numFmtId="169" fontId="20" fillId="9" borderId="13" xfId="0" applyNumberFormat="1" applyFont="1" applyFill="1" applyBorder="1"/>
    <xf numFmtId="169" fontId="20" fillId="9" borderId="8" xfId="0" applyNumberFormat="1" applyFont="1" applyFill="1" applyBorder="1"/>
    <xf numFmtId="169" fontId="21" fillId="0" borderId="0" xfId="0" applyNumberFormat="1" applyFont="1"/>
    <xf numFmtId="0" fontId="19" fillId="0" borderId="0" xfId="5" applyFont="1" applyFill="1" applyBorder="1"/>
    <xf numFmtId="0" fontId="19" fillId="0" borderId="0" xfId="5" applyFont="1" applyFill="1" applyBorder="1" applyAlignment="1">
      <alignment horizontal="left"/>
    </xf>
    <xf numFmtId="0" fontId="19" fillId="0" borderId="0" xfId="5" applyNumberFormat="1" applyFont="1" applyFill="1" applyBorder="1" applyAlignment="1">
      <alignment horizontal="left"/>
    </xf>
    <xf numFmtId="0" fontId="19" fillId="0" borderId="0" xfId="0" applyFont="1" applyAlignment="1">
      <alignment vertical="center" wrapText="1"/>
    </xf>
    <xf numFmtId="0" fontId="23" fillId="0" borderId="0" xfId="5" applyFont="1" applyFill="1" applyBorder="1" applyAlignment="1">
      <alignment horizontal="left"/>
    </xf>
    <xf numFmtId="0" fontId="23" fillId="0" borderId="0" xfId="5" applyFont="1" applyFill="1" applyBorder="1" applyAlignment="1">
      <alignment horizontal="center" vertical="center"/>
    </xf>
    <xf numFmtId="0" fontId="5" fillId="4" borderId="0" xfId="0" applyFont="1" applyFill="1"/>
    <xf numFmtId="9" fontId="0" fillId="4" borderId="0" xfId="2" applyFont="1" applyFill="1" applyBorder="1"/>
    <xf numFmtId="167" fontId="19" fillId="0" borderId="0" xfId="5" applyNumberFormat="1" applyFont="1" applyFill="1" applyBorder="1" applyAlignment="1">
      <alignment horizontal="left"/>
    </xf>
    <xf numFmtId="1" fontId="0" fillId="0" borderId="0" xfId="0" applyNumberFormat="1"/>
    <xf numFmtId="0" fontId="0" fillId="0" borderId="0" xfId="0" quotePrefix="1"/>
    <xf numFmtId="1" fontId="7" fillId="0" borderId="0" xfId="0" applyNumberFormat="1" applyFont="1"/>
    <xf numFmtId="1" fontId="19" fillId="0" borderId="0" xfId="5" applyNumberFormat="1" applyFont="1" applyFill="1" applyBorder="1" applyAlignment="1">
      <alignment horizontal="left"/>
    </xf>
    <xf numFmtId="0" fontId="5" fillId="0" borderId="0" xfId="0" applyFont="1" applyBorder="1"/>
    <xf numFmtId="0" fontId="0" fillId="0" borderId="0" xfId="0" applyNumberFormat="1"/>
    <xf numFmtId="0" fontId="5" fillId="6" borderId="12" xfId="0" applyFont="1" applyFill="1" applyBorder="1"/>
    <xf numFmtId="0" fontId="19" fillId="0" borderId="0" xfId="5" applyNumberFormat="1" applyFont="1" applyFill="1" applyAlignment="1">
      <alignment horizontal="left"/>
    </xf>
    <xf numFmtId="167" fontId="7" fillId="0" borderId="0" xfId="5" applyNumberFormat="1" applyFont="1" applyFill="1" applyBorder="1" applyAlignment="1">
      <alignment horizontal="left"/>
    </xf>
    <xf numFmtId="0" fontId="0" fillId="11" borderId="0" xfId="0" applyFill="1"/>
    <xf numFmtId="0" fontId="0" fillId="4" borderId="0" xfId="0" applyFill="1" applyAlignment="1">
      <alignment horizontal="right"/>
    </xf>
    <xf numFmtId="0" fontId="26" fillId="10" borderId="12" xfId="0" applyFont="1" applyFill="1" applyBorder="1"/>
    <xf numFmtId="2" fontId="0" fillId="0" borderId="0" xfId="0" applyNumberFormat="1"/>
    <xf numFmtId="166" fontId="26" fillId="10" borderId="12" xfId="0" applyNumberFormat="1" applyFont="1" applyFill="1" applyBorder="1"/>
    <xf numFmtId="1" fontId="0" fillId="4" borderId="0" xfId="0" applyNumberFormat="1" applyFill="1"/>
    <xf numFmtId="0" fontId="0" fillId="8" borderId="14" xfId="0" applyFill="1" applyBorder="1"/>
    <xf numFmtId="0" fontId="1" fillId="4" borderId="0" xfId="0" applyFont="1" applyFill="1"/>
    <xf numFmtId="0" fontId="1" fillId="4" borderId="0" xfId="0" applyFont="1" applyFill="1" applyAlignment="1"/>
    <xf numFmtId="0" fontId="1" fillId="4" borderId="0" xfId="0" quotePrefix="1" applyFont="1" applyFill="1"/>
    <xf numFmtId="0" fontId="1" fillId="4" borderId="0" xfId="0" applyFont="1" applyFill="1" applyAlignment="1">
      <alignment horizontal="right" vertical="center"/>
    </xf>
    <xf numFmtId="0" fontId="25" fillId="4" borderId="0" xfId="0" applyFont="1" applyFill="1" applyAlignment="1">
      <alignment vertical="center"/>
    </xf>
    <xf numFmtId="0" fontId="1" fillId="4" borderId="0" xfId="0" applyFont="1" applyFill="1" applyAlignment="1">
      <alignment vertical="center"/>
    </xf>
    <xf numFmtId="0" fontId="1" fillId="4" borderId="0" xfId="0" applyFont="1" applyFill="1" applyAlignment="1">
      <alignment horizontal="right" vertical="center" wrapText="1"/>
    </xf>
    <xf numFmtId="0" fontId="0" fillId="4" borderId="0" xfId="0" applyFill="1" applyAlignment="1">
      <alignment vertical="center"/>
    </xf>
    <xf numFmtId="0" fontId="1" fillId="4" borderId="0" xfId="0" applyFont="1" applyFill="1" applyAlignment="1" applyProtection="1">
      <alignment vertical="center"/>
      <protection locked="0"/>
    </xf>
    <xf numFmtId="0" fontId="28" fillId="4" borderId="0" xfId="0" applyFont="1" applyFill="1"/>
    <xf numFmtId="0" fontId="16" fillId="4" borderId="0" xfId="0" applyFont="1" applyFill="1"/>
    <xf numFmtId="0" fontId="28" fillId="4" borderId="0" xfId="0" applyFont="1" applyFill="1" applyAlignment="1"/>
    <xf numFmtId="0" fontId="1" fillId="10" borderId="12" xfId="0" applyFont="1" applyFill="1" applyBorder="1" applyAlignment="1" applyProtection="1">
      <alignment vertical="center"/>
      <protection locked="0"/>
    </xf>
    <xf numFmtId="0" fontId="1" fillId="10" borderId="14" xfId="0" applyFont="1" applyFill="1" applyBorder="1" applyAlignment="1" applyProtection="1">
      <alignment vertical="center"/>
      <protection locked="0"/>
    </xf>
    <xf numFmtId="0" fontId="1" fillId="4" borderId="0" xfId="0" applyFont="1" applyFill="1" applyBorder="1" applyAlignment="1" applyProtection="1">
      <alignment vertical="center"/>
      <protection locked="0"/>
    </xf>
    <xf numFmtId="0" fontId="1" fillId="4" borderId="0" xfId="0" quotePrefix="1" applyFont="1" applyFill="1" applyAlignment="1">
      <alignment vertical="center"/>
    </xf>
    <xf numFmtId="0" fontId="0" fillId="4" borderId="0" xfId="0" applyFont="1" applyFill="1" applyAlignment="1"/>
    <xf numFmtId="0" fontId="1" fillId="4" borderId="0" xfId="0" applyFont="1" applyFill="1" applyAlignment="1">
      <alignment horizontal="left" vertical="center"/>
    </xf>
    <xf numFmtId="0" fontId="1" fillId="3" borderId="12" xfId="0" applyFont="1" applyFill="1" applyBorder="1" applyAlignment="1" applyProtection="1">
      <alignment vertical="center"/>
      <protection locked="0"/>
    </xf>
    <xf numFmtId="0" fontId="1" fillId="4" borderId="0" xfId="0" applyFont="1" applyFill="1" applyAlignment="1" applyProtection="1">
      <alignment vertical="center"/>
    </xf>
    <xf numFmtId="0" fontId="0" fillId="4" borderId="0" xfId="0" applyFill="1" applyAlignment="1" applyProtection="1">
      <alignment vertical="center"/>
    </xf>
    <xf numFmtId="0" fontId="0" fillId="4" borderId="0" xfId="0" applyFill="1" applyProtection="1"/>
    <xf numFmtId="0" fontId="1" fillId="4" borderId="0" xfId="0" applyFont="1" applyFill="1" applyAlignment="1" applyProtection="1">
      <alignment horizontal="right" vertical="center"/>
    </xf>
    <xf numFmtId="0" fontId="25" fillId="4" borderId="0" xfId="0" applyFont="1" applyFill="1" applyAlignment="1" applyProtection="1">
      <alignment vertical="center"/>
    </xf>
    <xf numFmtId="0" fontId="1" fillId="10" borderId="12" xfId="0" quotePrefix="1" applyFont="1" applyFill="1" applyBorder="1" applyAlignment="1" applyProtection="1">
      <alignment vertical="center"/>
      <protection locked="0"/>
    </xf>
    <xf numFmtId="0" fontId="1" fillId="4" borderId="0" xfId="0" quotePrefix="1" applyFont="1" applyFill="1" applyBorder="1" applyAlignment="1" applyProtection="1">
      <alignment vertical="center"/>
      <protection locked="0"/>
    </xf>
    <xf numFmtId="0" fontId="5" fillId="4" borderId="0" xfId="0" applyFont="1" applyFill="1" applyAlignment="1" applyProtection="1">
      <alignment vertical="center"/>
    </xf>
    <xf numFmtId="0" fontId="1" fillId="4" borderId="0" xfId="0" applyFont="1" applyFill="1" applyBorder="1" applyAlignment="1" applyProtection="1">
      <alignment horizontal="center"/>
    </xf>
    <xf numFmtId="0" fontId="1" fillId="4" borderId="0" xfId="0" applyFont="1" applyFill="1" applyAlignment="1" applyProtection="1">
      <alignment horizontal="right" vertical="center"/>
    </xf>
    <xf numFmtId="0" fontId="13" fillId="4" borderId="0" xfId="0" applyFont="1" applyFill="1" applyAlignment="1" applyProtection="1">
      <alignment vertical="center"/>
    </xf>
    <xf numFmtId="0" fontId="18" fillId="4" borderId="0" xfId="0" applyFont="1" applyFill="1" applyAlignment="1" applyProtection="1">
      <alignment vertical="center"/>
    </xf>
    <xf numFmtId="0" fontId="1" fillId="4" borderId="0" xfId="0" applyFont="1" applyFill="1" applyAlignment="1" applyProtection="1">
      <alignment horizontal="right" vertical="center" wrapText="1"/>
    </xf>
    <xf numFmtId="0" fontId="30" fillId="4" borderId="0" xfId="0" applyFont="1" applyFill="1" applyAlignment="1" applyProtection="1">
      <alignment vertical="center"/>
    </xf>
    <xf numFmtId="0" fontId="13" fillId="4" borderId="0" xfId="0" quotePrefix="1" applyFont="1" applyFill="1" applyAlignment="1" applyProtection="1">
      <alignment vertical="center"/>
    </xf>
    <xf numFmtId="0" fontId="0" fillId="4" borderId="0" xfId="0" applyFill="1" applyBorder="1" applyProtection="1"/>
    <xf numFmtId="165" fontId="1" fillId="10" borderId="12" xfId="0" applyNumberFormat="1" applyFont="1" applyFill="1" applyBorder="1" applyAlignment="1" applyProtection="1">
      <alignment vertical="center"/>
      <protection locked="0"/>
    </xf>
    <xf numFmtId="0" fontId="0" fillId="4" borderId="0" xfId="0" applyFill="1" applyBorder="1" applyAlignment="1" applyProtection="1">
      <alignment vertical="center"/>
    </xf>
    <xf numFmtId="0" fontId="1" fillId="4" borderId="0" xfId="0" applyFont="1" applyFill="1" applyBorder="1" applyAlignment="1" applyProtection="1"/>
    <xf numFmtId="0" fontId="0" fillId="4" borderId="0" xfId="0" applyFont="1" applyFill="1" applyAlignment="1" applyProtection="1">
      <alignment vertical="center"/>
    </xf>
    <xf numFmtId="0" fontId="0" fillId="4" borderId="0" xfId="0" applyFont="1" applyFill="1" applyAlignment="1" applyProtection="1">
      <alignment horizontal="right" vertical="center" wrapText="1"/>
    </xf>
    <xf numFmtId="0" fontId="0" fillId="4" borderId="0" xfId="0" applyFont="1" applyFill="1" applyProtection="1"/>
    <xf numFmtId="0" fontId="1" fillId="10" borderId="9" xfId="0" applyFont="1" applyFill="1" applyBorder="1" applyAlignment="1" applyProtection="1">
      <alignment vertical="center"/>
      <protection locked="0"/>
    </xf>
    <xf numFmtId="0" fontId="25" fillId="4" borderId="0" xfId="0" applyFont="1" applyFill="1"/>
    <xf numFmtId="0" fontId="32" fillId="4" borderId="0" xfId="0" applyFont="1" applyFill="1" applyAlignment="1">
      <alignment vertical="center"/>
    </xf>
    <xf numFmtId="0" fontId="31" fillId="4" borderId="0" xfId="0" applyFont="1" applyFill="1" applyAlignment="1">
      <alignment vertical="center"/>
    </xf>
    <xf numFmtId="0" fontId="31" fillId="4" borderId="0" xfId="0" applyFont="1" applyFill="1"/>
    <xf numFmtId="0" fontId="31" fillId="4" borderId="0" xfId="0" applyFont="1" applyFill="1" applyAlignment="1" applyProtection="1">
      <alignment vertical="center"/>
    </xf>
    <xf numFmtId="0" fontId="33" fillId="4" borderId="0" xfId="0" applyFont="1" applyFill="1"/>
    <xf numFmtId="0" fontId="16" fillId="4" borderId="0" xfId="0" applyFont="1" applyFill="1" applyAlignment="1" applyProtection="1">
      <alignment vertical="center"/>
    </xf>
    <xf numFmtId="0" fontId="28" fillId="4" borderId="0" xfId="0" applyFont="1" applyFill="1" applyAlignment="1" applyProtection="1">
      <alignment vertical="center"/>
    </xf>
    <xf numFmtId="0" fontId="16" fillId="4" borderId="0" xfId="0" applyFont="1" applyFill="1" applyProtection="1"/>
    <xf numFmtId="1" fontId="0" fillId="4" borderId="0" xfId="0" applyNumberFormat="1" applyFont="1" applyFill="1" applyAlignment="1" applyProtection="1">
      <alignment vertical="center"/>
    </xf>
    <xf numFmtId="1" fontId="0" fillId="4" borderId="7" xfId="0" applyNumberFormat="1" applyFill="1" applyBorder="1" applyProtection="1"/>
    <xf numFmtId="0" fontId="18" fillId="4" borderId="0" xfId="0" applyFont="1" applyFill="1" applyAlignment="1" applyProtection="1"/>
    <xf numFmtId="0" fontId="0" fillId="4" borderId="0" xfId="0" applyFont="1" applyFill="1" applyAlignment="1" applyProtection="1"/>
    <xf numFmtId="1" fontId="0" fillId="4" borderId="0" xfId="0" applyNumberFormat="1" applyFont="1" applyFill="1" applyAlignment="1" applyProtection="1"/>
    <xf numFmtId="1" fontId="0" fillId="4" borderId="0" xfId="0" applyNumberFormat="1" applyFill="1" applyAlignment="1" applyProtection="1"/>
    <xf numFmtId="0" fontId="0" fillId="4" borderId="0" xfId="0" applyFill="1" applyAlignment="1" applyProtection="1"/>
    <xf numFmtId="1" fontId="0" fillId="4" borderId="7" xfId="0" applyNumberFormat="1" applyFill="1" applyBorder="1" applyAlignment="1" applyProtection="1"/>
    <xf numFmtId="0" fontId="0" fillId="4" borderId="0" xfId="0" applyFont="1" applyFill="1" applyAlignment="1" applyProtection="1">
      <alignment horizontal="right"/>
    </xf>
    <xf numFmtId="1" fontId="0" fillId="4" borderId="0" xfId="0" applyNumberFormat="1" applyFill="1" applyBorder="1" applyAlignment="1" applyProtection="1"/>
    <xf numFmtId="1" fontId="0" fillId="4" borderId="0" xfId="0" quotePrefix="1" applyNumberFormat="1" applyFont="1" applyFill="1" applyAlignment="1" applyProtection="1"/>
    <xf numFmtId="1" fontId="7" fillId="4" borderId="0" xfId="0" applyNumberFormat="1" applyFont="1" applyFill="1" applyAlignment="1" applyProtection="1"/>
    <xf numFmtId="1" fontId="7" fillId="4" borderId="0" xfId="0" quotePrefix="1" applyNumberFormat="1" applyFont="1" applyFill="1" applyAlignment="1" applyProtection="1"/>
    <xf numFmtId="0" fontId="26" fillId="4" borderId="0" xfId="0" applyFont="1" applyFill="1" applyAlignment="1" applyProtection="1"/>
    <xf numFmtId="0" fontId="7" fillId="4" borderId="0" xfId="0" applyFont="1" applyFill="1" applyAlignment="1" applyProtection="1"/>
    <xf numFmtId="0" fontId="0" fillId="4" borderId="0" xfId="0" applyFont="1" applyFill="1" applyAlignment="1" applyProtection="1">
      <alignment horizontal="left" vertical="top" wrapText="1"/>
    </xf>
    <xf numFmtId="0" fontId="35" fillId="4" borderId="0" xfId="0" applyFont="1" applyFill="1"/>
    <xf numFmtId="0" fontId="31" fillId="4" borderId="0" xfId="0" applyFont="1" applyFill="1" applyProtection="1"/>
    <xf numFmtId="0" fontId="35" fillId="4" borderId="0" xfId="0" applyFont="1" applyFill="1" applyAlignment="1">
      <alignment vertical="center"/>
    </xf>
    <xf numFmtId="0" fontId="32" fillId="4" borderId="0" xfId="0" applyFont="1" applyFill="1"/>
    <xf numFmtId="2" fontId="1" fillId="5" borderId="12" xfId="0" applyNumberFormat="1" applyFont="1" applyFill="1" applyBorder="1" applyAlignment="1" applyProtection="1">
      <alignment vertical="center"/>
    </xf>
    <xf numFmtId="0" fontId="1" fillId="10" borderId="13" xfId="0" applyFont="1" applyFill="1" applyBorder="1" applyAlignment="1" applyProtection="1">
      <alignment vertical="center"/>
      <protection locked="0"/>
    </xf>
    <xf numFmtId="0" fontId="8" fillId="4" borderId="0" xfId="0" applyFont="1" applyFill="1" applyAlignment="1" applyProtection="1">
      <alignment vertical="center"/>
    </xf>
    <xf numFmtId="0" fontId="36" fillId="4" borderId="0" xfId="0" applyFont="1" applyFill="1" applyAlignment="1"/>
    <xf numFmtId="0" fontId="36" fillId="4" borderId="0" xfId="0" applyFont="1" applyFill="1"/>
    <xf numFmtId="0" fontId="36" fillId="4" borderId="0" xfId="0" applyFont="1" applyFill="1" applyAlignment="1">
      <alignment vertical="center"/>
    </xf>
    <xf numFmtId="0" fontId="6" fillId="4" borderId="0" xfId="0" applyFont="1" applyFill="1"/>
    <xf numFmtId="0" fontId="0" fillId="0" borderId="0" xfId="0" applyAlignment="1">
      <alignment vertical="center" wrapText="1"/>
    </xf>
    <xf numFmtId="2" fontId="6" fillId="4" borderId="0" xfId="0" applyNumberFormat="1" applyFont="1" applyFill="1" applyAlignment="1">
      <alignment vertical="center"/>
    </xf>
    <xf numFmtId="0" fontId="6" fillId="4" borderId="0" xfId="0" applyFont="1" applyFill="1" applyAlignment="1" applyProtection="1">
      <alignment vertical="center"/>
    </xf>
    <xf numFmtId="0" fontId="6" fillId="4" borderId="0" xfId="0" applyFont="1" applyFill="1" applyAlignment="1">
      <alignment vertical="center"/>
    </xf>
    <xf numFmtId="0" fontId="36" fillId="4" borderId="0" xfId="0" applyFont="1" applyFill="1" applyAlignment="1" applyProtection="1">
      <alignment vertical="center"/>
    </xf>
    <xf numFmtId="0" fontId="36" fillId="4" borderId="0" xfId="0" quotePrefix="1" applyFont="1" applyFill="1" applyBorder="1" applyAlignment="1" applyProtection="1">
      <alignment vertical="center"/>
      <protection locked="0"/>
    </xf>
    <xf numFmtId="0" fontId="37" fillId="4" borderId="0" xfId="0" applyFont="1" applyFill="1" applyAlignment="1" applyProtection="1">
      <alignment vertical="center"/>
    </xf>
    <xf numFmtId="0" fontId="6" fillId="4" borderId="0" xfId="0" applyFont="1" applyFill="1" applyProtection="1"/>
    <xf numFmtId="164" fontId="6" fillId="4" borderId="0" xfId="0" applyNumberFormat="1" applyFont="1" applyFill="1" applyAlignment="1">
      <alignment vertical="center"/>
    </xf>
    <xf numFmtId="0" fontId="0" fillId="0" borderId="0" xfId="0" quotePrefix="1" applyAlignment="1">
      <alignment vertical="center" wrapText="1"/>
    </xf>
    <xf numFmtId="0" fontId="1" fillId="4" borderId="0" xfId="0" applyFont="1" applyFill="1" applyAlignment="1" applyProtection="1">
      <alignment vertical="center" wrapText="1"/>
    </xf>
    <xf numFmtId="0" fontId="31" fillId="4" borderId="0" xfId="0" applyFont="1" applyFill="1" applyAlignment="1">
      <alignment horizontal="right"/>
    </xf>
    <xf numFmtId="0" fontId="36" fillId="4" borderId="0" xfId="0" quotePrefix="1" applyFont="1" applyFill="1" applyAlignment="1" applyProtection="1">
      <alignment vertical="center"/>
    </xf>
    <xf numFmtId="2" fontId="31" fillId="4" borderId="0" xfId="0" applyNumberFormat="1" applyFont="1" applyFill="1" applyAlignment="1">
      <alignment vertical="center"/>
    </xf>
    <xf numFmtId="164" fontId="31" fillId="4" borderId="0" xfId="0" applyNumberFormat="1" applyFont="1" applyFill="1" applyAlignment="1">
      <alignment vertical="center"/>
    </xf>
    <xf numFmtId="0" fontId="31" fillId="4" borderId="0" xfId="0" applyFont="1" applyFill="1" applyAlignment="1">
      <alignment horizontal="right" vertical="center"/>
    </xf>
    <xf numFmtId="167" fontId="31" fillId="4" borderId="0" xfId="0" applyNumberFormat="1" applyFont="1" applyFill="1" applyAlignment="1" applyProtection="1">
      <alignment vertical="center"/>
    </xf>
    <xf numFmtId="0" fontId="31" fillId="4" borderId="0" xfId="0" applyFont="1" applyFill="1" applyAlignment="1" applyProtection="1">
      <alignment horizontal="right" vertical="center"/>
    </xf>
    <xf numFmtId="0" fontId="31" fillId="4" borderId="0" xfId="0" applyFont="1" applyFill="1" applyAlignment="1" applyProtection="1">
      <alignment horizontal="left" vertical="center"/>
    </xf>
    <xf numFmtId="1" fontId="31" fillId="4" borderId="0" xfId="0" applyNumberFormat="1" applyFont="1" applyFill="1" applyAlignment="1" applyProtection="1">
      <alignment vertical="center"/>
    </xf>
    <xf numFmtId="0" fontId="31" fillId="4" borderId="0" xfId="0" applyFont="1" applyFill="1" applyAlignment="1" applyProtection="1">
      <alignment horizontal="center" vertical="center"/>
    </xf>
    <xf numFmtId="164" fontId="31" fillId="4" borderId="0" xfId="0" applyNumberFormat="1" applyFont="1" applyFill="1" applyAlignment="1" applyProtection="1">
      <alignment vertical="center"/>
    </xf>
    <xf numFmtId="165" fontId="31" fillId="4" borderId="0" xfId="0" applyNumberFormat="1" applyFont="1" applyFill="1" applyAlignment="1" applyProtection="1">
      <alignment vertical="center"/>
    </xf>
    <xf numFmtId="164" fontId="31" fillId="4" borderId="0" xfId="0" applyNumberFormat="1" applyFont="1" applyFill="1" applyAlignment="1" applyProtection="1">
      <alignment horizontal="right" vertical="center"/>
    </xf>
    <xf numFmtId="0" fontId="1" fillId="4" borderId="9" xfId="0" applyFont="1" applyFill="1" applyBorder="1" applyAlignment="1">
      <alignment horizontal="center"/>
    </xf>
    <xf numFmtId="0" fontId="1" fillId="4" borderId="10" xfId="0" applyFont="1" applyFill="1" applyBorder="1" applyAlignment="1">
      <alignment horizontal="center"/>
    </xf>
    <xf numFmtId="0" fontId="1" fillId="4" borderId="11" xfId="0" applyFont="1" applyFill="1" applyBorder="1" applyAlignment="1">
      <alignment horizontal="center"/>
    </xf>
    <xf numFmtId="0" fontId="1" fillId="10" borderId="9" xfId="0" applyFont="1" applyFill="1" applyBorder="1" applyAlignment="1" applyProtection="1">
      <alignment horizontal="center" vertical="center"/>
      <protection locked="0"/>
    </xf>
    <xf numFmtId="0" fontId="1" fillId="10" borderId="11" xfId="0" applyFont="1" applyFill="1" applyBorder="1" applyAlignment="1" applyProtection="1">
      <alignment horizontal="center" vertical="center"/>
      <protection locked="0"/>
    </xf>
    <xf numFmtId="0" fontId="1" fillId="4" borderId="0" xfId="0" applyFont="1" applyFill="1" applyAlignment="1">
      <alignment horizontal="right" vertical="center"/>
    </xf>
    <xf numFmtId="0" fontId="13" fillId="12" borderId="15" xfId="1" quotePrefix="1" applyFont="1" applyFill="1" applyBorder="1" applyAlignment="1">
      <alignment horizontal="center" vertical="center"/>
    </xf>
    <xf numFmtId="0" fontId="27" fillId="12" borderId="16" xfId="1" applyFont="1" applyFill="1" applyBorder="1" applyAlignment="1">
      <alignment horizontal="center" vertical="center"/>
    </xf>
    <xf numFmtId="0" fontId="1" fillId="10" borderId="9" xfId="0" quotePrefix="1" applyFont="1" applyFill="1" applyBorder="1" applyAlignment="1" applyProtection="1">
      <alignment horizontal="center" vertical="center"/>
      <protection locked="0"/>
    </xf>
    <xf numFmtId="0" fontId="1" fillId="4" borderId="0" xfId="0" applyFont="1" applyFill="1" applyAlignment="1">
      <alignment horizontal="right" vertical="center" wrapText="1"/>
    </xf>
    <xf numFmtId="0" fontId="29" fillId="4" borderId="0" xfId="0" applyFont="1" applyFill="1" applyAlignment="1">
      <alignment horizontal="left" vertical="center"/>
    </xf>
    <xf numFmtId="0" fontId="1" fillId="4" borderId="0" xfId="0" quotePrefix="1" applyFont="1" applyFill="1" applyAlignment="1" applyProtection="1">
      <alignment horizontal="center" vertical="center"/>
      <protection locked="0"/>
    </xf>
    <xf numFmtId="0" fontId="1" fillId="4" borderId="0" xfId="0" applyFont="1" applyFill="1" applyAlignment="1" applyProtection="1">
      <alignment horizontal="center" vertical="center"/>
      <protection locked="0"/>
    </xf>
    <xf numFmtId="0" fontId="1" fillId="4" borderId="0" xfId="0" applyFont="1" applyFill="1" applyAlignment="1" applyProtection="1">
      <alignment horizontal="right" vertical="center"/>
    </xf>
    <xf numFmtId="0" fontId="1" fillId="4" borderId="9" xfId="0" applyFont="1" applyFill="1" applyBorder="1" applyAlignment="1" applyProtection="1">
      <alignment horizontal="center"/>
    </xf>
    <xf numFmtId="0" fontId="1" fillId="4" borderId="10" xfId="0" applyFont="1" applyFill="1" applyBorder="1" applyAlignment="1" applyProtection="1">
      <alignment horizontal="center"/>
    </xf>
    <xf numFmtId="0" fontId="1" fillId="4" borderId="11" xfId="0" applyFont="1" applyFill="1" applyBorder="1" applyAlignment="1" applyProtection="1">
      <alignment horizontal="center"/>
    </xf>
    <xf numFmtId="0" fontId="1" fillId="4" borderId="0" xfId="0" applyFont="1" applyFill="1" applyAlignment="1" applyProtection="1">
      <alignment horizontal="center" vertical="center"/>
    </xf>
    <xf numFmtId="0" fontId="1" fillId="13" borderId="9" xfId="0" applyFont="1" applyFill="1" applyBorder="1" applyAlignment="1" applyProtection="1">
      <alignment horizontal="right" vertical="center"/>
    </xf>
    <xf numFmtId="0" fontId="1" fillId="13" borderId="10" xfId="0" applyFont="1" applyFill="1" applyBorder="1" applyAlignment="1" applyProtection="1">
      <alignment horizontal="right" vertical="center"/>
    </xf>
    <xf numFmtId="0" fontId="1" fillId="13" borderId="11" xfId="0" applyFont="1" applyFill="1" applyBorder="1" applyAlignment="1" applyProtection="1">
      <alignment horizontal="right" vertical="center"/>
    </xf>
    <xf numFmtId="0" fontId="1" fillId="4" borderId="0" xfId="0" applyFont="1" applyFill="1" applyAlignment="1" applyProtection="1">
      <alignment horizontal="right" vertical="center" wrapText="1"/>
    </xf>
    <xf numFmtId="2" fontId="1" fillId="5" borderId="0" xfId="0" quotePrefix="1" applyNumberFormat="1" applyFont="1" applyFill="1" applyAlignment="1" applyProtection="1">
      <alignment horizontal="center" vertical="center"/>
    </xf>
    <xf numFmtId="0" fontId="13" fillId="12" borderId="15" xfId="1" quotePrefix="1" applyFont="1" applyFill="1" applyBorder="1" applyAlignment="1" applyProtection="1">
      <alignment horizontal="center" vertical="center"/>
      <protection locked="0"/>
    </xf>
    <xf numFmtId="0" fontId="13" fillId="12" borderId="16" xfId="1" applyFont="1" applyFill="1" applyBorder="1" applyAlignment="1" applyProtection="1">
      <alignment horizontal="center" vertical="center"/>
      <protection locked="0"/>
    </xf>
    <xf numFmtId="2" fontId="1" fillId="5" borderId="0" xfId="0" applyNumberFormat="1" applyFont="1" applyFill="1" applyAlignment="1" applyProtection="1">
      <alignment horizontal="center" vertical="center"/>
    </xf>
    <xf numFmtId="165" fontId="1" fillId="5" borderId="0" xfId="0" quotePrefix="1" applyNumberFormat="1" applyFont="1" applyFill="1" applyAlignment="1" applyProtection="1">
      <alignment horizontal="center" vertical="center"/>
    </xf>
    <xf numFmtId="1" fontId="1" fillId="5" borderId="0" xfId="0" quotePrefix="1" applyNumberFormat="1" applyFont="1" applyFill="1" applyAlignment="1" applyProtection="1">
      <alignment horizontal="center" vertical="center"/>
    </xf>
    <xf numFmtId="1" fontId="1" fillId="5" borderId="0" xfId="0" applyNumberFormat="1" applyFont="1" applyFill="1" applyAlignment="1" applyProtection="1">
      <alignment horizontal="center" vertical="center"/>
    </xf>
    <xf numFmtId="0" fontId="0" fillId="4" borderId="0" xfId="0" applyFont="1" applyFill="1" applyAlignment="1" applyProtection="1">
      <alignment horizontal="right"/>
    </xf>
    <xf numFmtId="0" fontId="34" fillId="4" borderId="0" xfId="0" applyFont="1" applyFill="1" applyBorder="1" applyAlignment="1" applyProtection="1">
      <alignment horizontal="right" wrapText="1"/>
    </xf>
    <xf numFmtId="0" fontId="0" fillId="4" borderId="0" xfId="0" applyFill="1" applyAlignment="1" applyProtection="1">
      <alignment horizontal="left"/>
    </xf>
    <xf numFmtId="0" fontId="0" fillId="4" borderId="0" xfId="0" applyFont="1" applyFill="1" applyAlignment="1" applyProtection="1">
      <alignment horizontal="left" wrapText="1"/>
    </xf>
    <xf numFmtId="0" fontId="1" fillId="4" borderId="0" xfId="0" applyFont="1" applyFill="1" applyBorder="1" applyAlignment="1" applyProtection="1">
      <alignment horizontal="left"/>
    </xf>
    <xf numFmtId="0" fontId="27" fillId="12" borderId="16" xfId="1" applyFont="1" applyFill="1" applyBorder="1" applyAlignment="1" applyProtection="1">
      <alignment horizontal="center" vertical="center"/>
      <protection locked="0"/>
    </xf>
    <xf numFmtId="14" fontId="11" fillId="4" borderId="0" xfId="0" applyNumberFormat="1" applyFont="1" applyFill="1" applyAlignment="1" applyProtection="1">
      <alignment horizontal="left"/>
    </xf>
    <xf numFmtId="0" fontId="11" fillId="3" borderId="0" xfId="0" applyFont="1" applyFill="1" applyAlignment="1" applyProtection="1">
      <alignment horizontal="left" wrapText="1"/>
    </xf>
    <xf numFmtId="0" fontId="0" fillId="4" borderId="0" xfId="0" applyFont="1" applyFill="1" applyAlignment="1" applyProtection="1">
      <alignment horizontal="left" vertical="top" wrapText="1"/>
    </xf>
    <xf numFmtId="0" fontId="2" fillId="4" borderId="0" xfId="0" applyFont="1" applyFill="1" applyBorder="1" applyAlignment="1">
      <alignment horizontal="center" vertical="center"/>
    </xf>
    <xf numFmtId="0" fontId="4" fillId="4" borderId="0" xfId="0" applyFont="1" applyFill="1" applyBorder="1" applyAlignment="1">
      <alignment horizontal="center" vertical="center"/>
    </xf>
    <xf numFmtId="0" fontId="5" fillId="4" borderId="0" xfId="0" applyFont="1" applyFill="1" applyAlignment="1">
      <alignment horizontal="center"/>
    </xf>
    <xf numFmtId="0" fontId="11" fillId="4" borderId="5" xfId="0" applyFont="1" applyFill="1" applyBorder="1" applyAlignment="1">
      <alignment horizontal="left" wrapText="1"/>
    </xf>
    <xf numFmtId="0" fontId="5" fillId="6" borderId="12" xfId="0" applyFont="1" applyFill="1" applyBorder="1" applyAlignment="1">
      <alignment horizontal="center"/>
    </xf>
    <xf numFmtId="0" fontId="25" fillId="4" borderId="0" xfId="0" quotePrefix="1" applyFont="1" applyFill="1" applyAlignment="1">
      <alignment vertical="center"/>
    </xf>
  </cellXfs>
  <cellStyles count="6">
    <cellStyle name="Link" xfId="1" builtinId="8"/>
    <cellStyle name="Normal 10" xfId="4" xr:uid="{A7798CCF-561C-4698-B482-72D2282ABE82}"/>
    <cellStyle name="Normal 2" xfId="3" xr:uid="{7FFB3FCF-CC19-4305-946A-EDAF16B6608E}"/>
    <cellStyle name="Normal 3" xfId="5" xr:uid="{0BC2BC93-7CFE-430C-8C9F-9307FC955CA7}"/>
    <cellStyle name="Prozent" xfId="2" builtinId="5"/>
    <cellStyle name="Standard" xfId="0" builtinId="0"/>
  </cellStyles>
  <dxfs count="75">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rgb="FF0070C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dxf>
    <dxf>
      <font>
        <b val="0"/>
        <i val="0"/>
        <strike val="0"/>
        <condense val="0"/>
        <extend val="0"/>
        <outline val="0"/>
        <shadow val="0"/>
        <u val="none"/>
        <vertAlign val="baseline"/>
        <sz val="11"/>
        <color theme="1"/>
        <name val="Calibri"/>
        <family val="2"/>
        <scheme val="minor"/>
      </font>
      <border diagonalUp="0" diagonalDown="0">
        <left style="thin">
          <color theme="7"/>
        </left>
        <right/>
        <top style="thin">
          <color theme="7"/>
        </top>
        <bottom/>
        <vertical/>
        <horizontal/>
      </border>
    </dxf>
    <dxf>
      <font>
        <b val="0"/>
        <i val="0"/>
        <strike val="0"/>
        <condense val="0"/>
        <extend val="0"/>
        <outline val="0"/>
        <shadow val="0"/>
        <u val="none"/>
        <vertAlign val="baseline"/>
        <sz val="11"/>
        <color theme="1"/>
        <name val="Calibri"/>
        <family val="2"/>
        <scheme val="minor"/>
      </font>
    </dxf>
    <dxf>
      <numFmt numFmtId="168" formatCode="0.00000"/>
    </dxf>
    <dxf>
      <numFmt numFmtId="1" formatCode="0"/>
    </dxf>
    <dxf>
      <numFmt numFmtId="168" formatCode="0.00000"/>
    </dxf>
    <dxf>
      <numFmt numFmtId="1" formatCode="0"/>
    </dxf>
    <dxf>
      <numFmt numFmtId="168" formatCode="0.00000"/>
    </dxf>
    <dxf>
      <numFmt numFmtId="168" formatCode="0.00000"/>
    </dxf>
    <dxf>
      <numFmt numFmtId="168" formatCode="0.00000"/>
    </dxf>
    <dxf>
      <numFmt numFmtId="168" formatCode="0.00000"/>
    </dxf>
    <dxf>
      <numFmt numFmtId="167" formatCode="0.0000"/>
    </dxf>
    <dxf>
      <font>
        <b/>
        <i val="0"/>
        <strike val="0"/>
        <condense val="0"/>
        <extend val="0"/>
        <outline val="0"/>
        <shadow val="0"/>
        <u val="none"/>
        <vertAlign val="baseline"/>
        <sz val="11"/>
        <color theme="1"/>
        <name val="Calibri"/>
        <family val="2"/>
        <scheme val="minor"/>
      </font>
    </dxf>
    <dxf>
      <font>
        <color rgb="FF006100"/>
      </font>
      <fill>
        <patternFill>
          <bgColor rgb="FFC6EFCE"/>
        </patternFill>
      </fill>
    </dxf>
    <dxf>
      <font>
        <color rgb="FF006100"/>
      </font>
      <fill>
        <patternFill>
          <bgColor rgb="FFC6EF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dxf>
    <dxf>
      <font>
        <color theme="0"/>
      </font>
    </dxf>
    <dxf>
      <font>
        <color theme="0"/>
      </font>
    </dxf>
    <dxf>
      <font>
        <color theme="0"/>
      </font>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bottom/>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DCB"/>
      <color rgb="FFF4B084"/>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solidFill>
                <a:latin typeface="Arial" panose="020B0604020202020204" pitchFamily="34" charset="0"/>
                <a:ea typeface="+mn-ea"/>
                <a:cs typeface="Arial" panose="020B0604020202020204" pitchFamily="34" charset="0"/>
              </a:defRPr>
            </a:pPr>
            <a:r>
              <a:rPr lang="de-CH" sz="2400"/>
              <a:t>COP Fit Curves VHTHPs</a:t>
            </a:r>
          </a:p>
        </c:rich>
      </c:tx>
      <c:layout>
        <c:manualLayout>
          <c:xMode val="edge"/>
          <c:yMode val="edge"/>
          <c:x val="0.15988841779392959"/>
          <c:y val="2.0794007340088103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9.094919596781896E-2"/>
          <c:y val="0.1475491828906686"/>
          <c:w val="0.60089298122552748"/>
          <c:h val="0.72503030745437169"/>
        </c:manualLayout>
      </c:layout>
      <c:scatterChart>
        <c:scatterStyle val="lineMarker"/>
        <c:varyColors val="0"/>
        <c:ser>
          <c:idx val="2"/>
          <c:order val="0"/>
          <c:tx>
            <c:strRef>
              <c:f>fits_ref!$F$3</c:f>
              <c:strCache>
                <c:ptCount val="1"/>
                <c:pt idx="0">
                  <c:v>Schlosser et al. (2020)</c:v>
                </c:pt>
              </c:strCache>
            </c:strRef>
          </c:tx>
          <c:spPr>
            <a:ln w="25400" cap="rnd">
              <a:noFill/>
              <a:round/>
            </a:ln>
            <a:effectLst/>
          </c:spPr>
          <c:marker>
            <c:symbol val="circle"/>
            <c:size val="8"/>
            <c:spPr>
              <a:solidFill>
                <a:schemeClr val="accent6">
                  <a:lumMod val="60000"/>
                  <a:lumOff val="40000"/>
                </a:schemeClr>
              </a:solidFill>
              <a:ln w="9525">
                <a:noFill/>
              </a:ln>
              <a:effectLst/>
            </c:spPr>
          </c:marker>
          <c:trendline>
            <c:spPr>
              <a:ln w="25400" cap="rnd">
                <a:solidFill>
                  <a:schemeClr val="accent6">
                    <a:lumMod val="40000"/>
                    <a:lumOff val="60000"/>
                  </a:schemeClr>
                </a:solidFill>
                <a:prstDash val="sysDash"/>
              </a:ln>
              <a:effectLst/>
            </c:spPr>
            <c:trendlineType val="power"/>
            <c:dispRSqr val="1"/>
            <c:dispEq val="1"/>
            <c:trendlineLbl>
              <c:layout>
                <c:manualLayout>
                  <c:x val="-0.16724840164210242"/>
                  <c:y val="-0.54089700552119757"/>
                </c:manualLayout>
              </c:layout>
              <c:tx>
                <c:rich>
                  <a:bodyPr rot="0" spcFirstLastPara="1" vertOverflow="ellipsis" vert="horz" wrap="square" anchor="ctr" anchorCtr="1"/>
                  <a:lstStyle/>
                  <a:p>
                    <a:pPr>
                      <a:defRPr sz="900" b="0" i="0" u="none" strike="noStrike" kern="1200" baseline="0">
                        <a:solidFill>
                          <a:schemeClr val="accent6"/>
                        </a:solidFill>
                        <a:latin typeface="Arial" panose="020B0604020202020204" pitchFamily="34" charset="0"/>
                        <a:ea typeface="+mn-ea"/>
                        <a:cs typeface="Arial" panose="020B0604020202020204" pitchFamily="34" charset="0"/>
                      </a:defRPr>
                    </a:pPr>
                    <a:r>
                      <a:rPr lang="en-US" sz="900">
                        <a:solidFill>
                          <a:schemeClr val="accent6"/>
                        </a:solidFill>
                      </a:rPr>
                      <a:t>y = 110.38x-0.888</a:t>
                    </a: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6"/>
                      </a:solidFill>
                      <a:latin typeface="Arial" panose="020B0604020202020204" pitchFamily="34" charset="0"/>
                      <a:ea typeface="+mn-ea"/>
                      <a:cs typeface="Arial" panose="020B0604020202020204" pitchFamily="34" charset="0"/>
                    </a:defRPr>
                  </a:pPr>
                  <a:endParaRPr lang="de-DE"/>
                </a:p>
              </c:txPr>
            </c:trendlineLbl>
          </c:trendline>
          <c:xVal>
            <c:numRef>
              <c:f>fits_ref!$B$13:$B$31</c:f>
              <c:numCache>
                <c:formatCode>General</c:formatCode>
                <c:ptCount val="1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numCache>
            </c:numRef>
          </c:xVal>
          <c:yVal>
            <c:numRef>
              <c:f>fits_ref!$F$13:$F$31</c:f>
              <c:numCache>
                <c:formatCode>0.0</c:formatCode>
                <c:ptCount val="19"/>
                <c:pt idx="0">
                  <c:v>14.325565563763988</c:v>
                </c:pt>
                <c:pt idx="1">
                  <c:v>10.008213663516965</c:v>
                </c:pt>
                <c:pt idx="2" formatCode="0.00">
                  <c:v>7.7555153699721329</c:v>
                </c:pt>
                <c:pt idx="3">
                  <c:v>6.3622431468780611</c:v>
                </c:pt>
                <c:pt idx="4">
                  <c:v>5.4111772628133252</c:v>
                </c:pt>
                <c:pt idx="5">
                  <c:v>4.7185502323599851</c:v>
                </c:pt>
                <c:pt idx="6">
                  <c:v>4.1904733028526415</c:v>
                </c:pt>
                <c:pt idx="7">
                  <c:v>3.7738448476145923</c:v>
                </c:pt>
                <c:pt idx="8">
                  <c:v>3.4363129792207197</c:v>
                </c:pt>
                <c:pt idx="9">
                  <c:v>3.1570130972540413</c:v>
                </c:pt>
                <c:pt idx="10">
                  <c:v>2.9218692361070207</c:v>
                </c:pt>
                <c:pt idx="11">
                  <c:v>2.7210317171050611</c:v>
                </c:pt>
                <c:pt idx="12">
                  <c:v>2.5473962856002306</c:v>
                </c:pt>
                <c:pt idx="13">
                  <c:v>2.3957064659742908</c:v>
                </c:pt>
                <c:pt idx="14">
                  <c:v>2.2619872795248233</c:v>
                </c:pt>
                <c:pt idx="15">
                  <c:v>2.1431756726576783</c:v>
                </c:pt>
                <c:pt idx="16">
                  <c:v>2.0368721731379811</c:v>
                </c:pt>
                <c:pt idx="17">
                  <c:v>1.9411697109209656</c:v>
                </c:pt>
                <c:pt idx="18">
                  <c:v>1.85453296178023</c:v>
                </c:pt>
              </c:numCache>
            </c:numRef>
          </c:yVal>
          <c:smooth val="0"/>
          <c:extLst>
            <c:ext xmlns:c16="http://schemas.microsoft.com/office/drawing/2014/chart" uri="{C3380CC4-5D6E-409C-BE32-E72D297353CC}">
              <c16:uniqueId val="{00000001-A4D8-4726-8006-B31C85F8FEC9}"/>
            </c:ext>
          </c:extLst>
        </c:ser>
        <c:ser>
          <c:idx val="0"/>
          <c:order val="1"/>
          <c:tx>
            <c:strRef>
              <c:f>fits_ref!$C$3</c:f>
              <c:strCache>
                <c:ptCount val="1"/>
                <c:pt idx="0">
                  <c:v>Arpagaus et al. (2018)</c:v>
                </c:pt>
              </c:strCache>
            </c:strRef>
          </c:tx>
          <c:spPr>
            <a:ln w="19050" cap="rnd">
              <a:noFill/>
              <a:round/>
            </a:ln>
            <a:effectLst/>
          </c:spPr>
          <c:marker>
            <c:symbol val="circle"/>
            <c:size val="8"/>
            <c:spPr>
              <a:solidFill>
                <a:schemeClr val="accent1">
                  <a:lumMod val="40000"/>
                  <a:lumOff val="60000"/>
                </a:schemeClr>
              </a:solidFill>
              <a:ln w="9525">
                <a:noFill/>
              </a:ln>
              <a:effectLst/>
            </c:spPr>
          </c:marker>
          <c:trendline>
            <c:spPr>
              <a:ln w="25400" cap="rnd">
                <a:solidFill>
                  <a:schemeClr val="accent1">
                    <a:lumMod val="20000"/>
                    <a:lumOff val="80000"/>
                  </a:schemeClr>
                </a:solidFill>
                <a:prstDash val="sysDash"/>
              </a:ln>
              <a:effectLst/>
            </c:spPr>
            <c:trendlineType val="power"/>
            <c:dispRSqr val="1"/>
            <c:dispEq val="1"/>
            <c:trendlineLbl>
              <c:layout>
                <c:manualLayout>
                  <c:x val="-0.13608318190995355"/>
                  <c:y val="-0.41098278797469529"/>
                </c:manualLayout>
              </c:layout>
              <c:tx>
                <c:rich>
                  <a:bodyPr rot="0" spcFirstLastPara="1" vertOverflow="ellipsis" vert="horz" wrap="square" anchor="ctr" anchorCtr="1"/>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r>
                      <a:rPr lang="en-US" sz="900">
                        <a:solidFill>
                          <a:schemeClr val="accent1"/>
                        </a:solidFill>
                      </a:rPr>
                      <a:t>y = 68.455x-0.76</a:t>
                    </a: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de-DE"/>
                </a:p>
              </c:txPr>
            </c:trendlineLbl>
          </c:trendline>
          <c:xVal>
            <c:numRef>
              <c:f>fits_ref!$B$13:$B$31</c:f>
              <c:numCache>
                <c:formatCode>General</c:formatCode>
                <c:ptCount val="1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numCache>
            </c:numRef>
          </c:xVal>
          <c:yVal>
            <c:numRef>
              <c:f>fits_ref!$C$13:$C$31</c:f>
              <c:numCache>
                <c:formatCode>0.0</c:formatCode>
                <c:ptCount val="19"/>
                <c:pt idx="0">
                  <c:v>11.896115573203845</c:v>
                </c:pt>
                <c:pt idx="1">
                  <c:v>8.7412958236066274</c:v>
                </c:pt>
                <c:pt idx="2">
                  <c:v>7.0246125957356513</c:v>
                </c:pt>
                <c:pt idx="3">
                  <c:v>5.928854168911708</c:v>
                </c:pt>
                <c:pt idx="4">
                  <c:v>5.1617031095320156</c:v>
                </c:pt>
                <c:pt idx="5">
                  <c:v>4.5910652068340152</c:v>
                </c:pt>
                <c:pt idx="6">
                  <c:v>4.1480079624746224</c:v>
                </c:pt>
                <c:pt idx="7">
                  <c:v>3.7928325054005763</c:v>
                </c:pt>
                <c:pt idx="8">
                  <c:v>3.5009666320853023</c:v>
                </c:pt>
                <c:pt idx="9">
                  <c:v>3.2563384011895073</c:v>
                </c:pt>
                <c:pt idx="10">
                  <c:v>3.0479667464176496</c:v>
                </c:pt>
                <c:pt idx="11">
                  <c:v>2.8680784329213895</c:v>
                </c:pt>
                <c:pt idx="12">
                  <c:v>2.7110071587077096</c:v>
                </c:pt>
                <c:pt idx="13">
                  <c:v>2.5725191396565648</c:v>
                </c:pt>
                <c:pt idx="14">
                  <c:v>2.4493834816168953</c:v>
                </c:pt>
                <c:pt idx="15">
                  <c:v>2.3390892405192409</c:v>
                </c:pt>
                <c:pt idx="16">
                  <c:v>2.2396536774547293</c:v>
                </c:pt>
                <c:pt idx="17">
                  <c:v>2.1494890386851755</c:v>
                </c:pt>
                <c:pt idx="18">
                  <c:v>2.0673079502011991</c:v>
                </c:pt>
              </c:numCache>
            </c:numRef>
          </c:yVal>
          <c:smooth val="0"/>
          <c:extLst>
            <c:ext xmlns:c16="http://schemas.microsoft.com/office/drawing/2014/chart" uri="{C3380CC4-5D6E-409C-BE32-E72D297353CC}">
              <c16:uniqueId val="{00000003-A4D8-4726-8006-B31C85F8FEC9}"/>
            </c:ext>
          </c:extLst>
        </c:ser>
        <c:ser>
          <c:idx val="1"/>
          <c:order val="2"/>
          <c:tx>
            <c:strRef>
              <c:f>fits_ref!$E$3</c:f>
              <c:strCache>
                <c:ptCount val="1"/>
                <c:pt idx="0">
                  <c:v>Schlosser et al. (2020)</c:v>
                </c:pt>
              </c:strCache>
            </c:strRef>
          </c:tx>
          <c:spPr>
            <a:ln w="25400" cap="rnd">
              <a:noFill/>
              <a:round/>
            </a:ln>
            <a:effectLst/>
          </c:spPr>
          <c:marker>
            <c:symbol val="circle"/>
            <c:size val="8"/>
            <c:spPr>
              <a:solidFill>
                <a:schemeClr val="accent2">
                  <a:lumMod val="40000"/>
                  <a:lumOff val="60000"/>
                </a:schemeClr>
              </a:solidFill>
              <a:ln w="9525">
                <a:noFill/>
              </a:ln>
              <a:effectLst/>
            </c:spPr>
          </c:marker>
          <c:trendline>
            <c:spPr>
              <a:ln w="25400" cap="rnd">
                <a:solidFill>
                  <a:schemeClr val="accent2">
                    <a:lumMod val="20000"/>
                    <a:lumOff val="80000"/>
                  </a:schemeClr>
                </a:solidFill>
                <a:prstDash val="sysDash"/>
              </a:ln>
              <a:effectLst/>
            </c:spPr>
            <c:trendlineType val="power"/>
            <c:dispRSqr val="1"/>
            <c:dispEq val="1"/>
            <c:trendlineLbl>
              <c:layout>
                <c:manualLayout>
                  <c:x val="-0.2449536285840376"/>
                  <c:y val="-9.4917315186572246E-2"/>
                </c:manualLayout>
              </c:layout>
              <c:tx>
                <c:rich>
                  <a:bodyPr rot="0" spcFirstLastPara="1" vertOverflow="ellipsis" vert="horz" wrap="square" anchor="ctr" anchorCtr="1"/>
                  <a:lstStyle/>
                  <a:p>
                    <a:pPr>
                      <a:defRPr sz="900" b="0" i="0" u="none" strike="noStrike" kern="1200" baseline="0">
                        <a:solidFill>
                          <a:schemeClr val="accent2"/>
                        </a:solidFill>
                        <a:latin typeface="Arial" panose="020B0604020202020204" pitchFamily="34" charset="0"/>
                        <a:ea typeface="+mn-ea"/>
                        <a:cs typeface="Arial" panose="020B0604020202020204" pitchFamily="34" charset="0"/>
                      </a:defRPr>
                    </a:pPr>
                    <a:r>
                      <a:rPr lang="en-US" sz="900">
                        <a:solidFill>
                          <a:schemeClr val="accent2"/>
                        </a:solidFill>
                      </a:rPr>
                      <a:t>y = 23.603x-0.52</a:t>
                    </a: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2"/>
                      </a:solidFill>
                      <a:latin typeface="Arial" panose="020B0604020202020204" pitchFamily="34" charset="0"/>
                      <a:ea typeface="+mn-ea"/>
                      <a:cs typeface="Arial" panose="020B0604020202020204" pitchFamily="34" charset="0"/>
                    </a:defRPr>
                  </a:pPr>
                  <a:endParaRPr lang="de-DE"/>
                </a:p>
              </c:txPr>
            </c:trendlineLbl>
          </c:trendline>
          <c:xVal>
            <c:numRef>
              <c:f>fits_ref!$B$13:$B$31</c:f>
              <c:numCache>
                <c:formatCode>General</c:formatCode>
                <c:ptCount val="1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numCache>
            </c:numRef>
          </c:xVal>
          <c:yVal>
            <c:numRef>
              <c:f>fits_ref!$E$13:$E$31</c:f>
              <c:numCache>
                <c:formatCode>0.0</c:formatCode>
                <c:ptCount val="19"/>
                <c:pt idx="0">
                  <c:v>7.1225251025518412</c:v>
                </c:pt>
                <c:pt idx="1">
                  <c:v>5.7737512104091087</c:v>
                </c:pt>
                <c:pt idx="2">
                  <c:v>4.9731986870068363</c:v>
                </c:pt>
                <c:pt idx="3">
                  <c:v>4.4289449480732506</c:v>
                </c:pt>
                <c:pt idx="4">
                  <c:v>4.0285115049820153</c:v>
                </c:pt>
                <c:pt idx="5">
                  <c:v>3.7181880952371706</c:v>
                </c:pt>
                <c:pt idx="6">
                  <c:v>3.4686798313791032</c:v>
                </c:pt>
                <c:pt idx="7">
                  <c:v>3.2624797241489216</c:v>
                </c:pt>
                <c:pt idx="8">
                  <c:v>3.0884007182112909</c:v>
                </c:pt>
                <c:pt idx="9">
                  <c:v>2.9389178222150996</c:v>
                </c:pt>
                <c:pt idx="10">
                  <c:v>2.8087594264119473</c:v>
                </c:pt>
                <c:pt idx="11">
                  <c:v>2.6941086067126534</c:v>
                </c:pt>
                <c:pt idx="12">
                  <c:v>2.5921250688496658</c:v>
                </c:pt>
                <c:pt idx="13">
                  <c:v>2.5006459764814912</c:v>
                </c:pt>
                <c:pt idx="14">
                  <c:v>2.4179916096218852</c:v>
                </c:pt>
                <c:pt idx="15">
                  <c:v>2.3428350512073801</c:v>
                </c:pt>
                <c:pt idx="16">
                  <c:v>2.2741123864547323</c:v>
                </c:pt>
                <c:pt idx="17">
                  <c:v>2.210959330363349</c:v>
                </c:pt>
                <c:pt idx="18">
                  <c:v>2.1526655609418461</c:v>
                </c:pt>
              </c:numCache>
            </c:numRef>
          </c:yVal>
          <c:smooth val="0"/>
          <c:extLst>
            <c:ext xmlns:c16="http://schemas.microsoft.com/office/drawing/2014/chart" uri="{C3380CC4-5D6E-409C-BE32-E72D297353CC}">
              <c16:uniqueId val="{00000005-A4D8-4726-8006-B31C85F8FEC9}"/>
            </c:ext>
          </c:extLst>
        </c:ser>
        <c:ser>
          <c:idx val="3"/>
          <c:order val="3"/>
          <c:tx>
            <c:strRef>
              <c:f>fits_ref!$N$5</c:f>
              <c:strCache>
                <c:ptCount val="1"/>
                <c:pt idx="0">
                  <c:v>Kobelco SGH120</c:v>
                </c:pt>
              </c:strCache>
            </c:strRef>
          </c:tx>
          <c:spPr>
            <a:ln w="25400" cap="rnd">
              <a:noFill/>
              <a:round/>
            </a:ln>
            <a:effectLst/>
          </c:spPr>
          <c:marker>
            <c:symbol val="square"/>
            <c:size val="8"/>
            <c:spPr>
              <a:solidFill>
                <a:schemeClr val="bg1"/>
              </a:solidFill>
              <a:ln w="12700">
                <a:solidFill>
                  <a:schemeClr val="tx1"/>
                </a:solidFill>
              </a:ln>
              <a:effectLst/>
            </c:spPr>
          </c:marker>
          <c:trendline>
            <c:spPr>
              <a:ln w="25400" cap="rnd">
                <a:solidFill>
                  <a:schemeClr val="tx1"/>
                </a:solidFill>
                <a:prstDash val="sysDash"/>
              </a:ln>
              <a:effectLst/>
            </c:spPr>
            <c:trendlineType val="power"/>
            <c:dispRSqr val="1"/>
            <c:dispEq val="1"/>
            <c:trendlineLbl>
              <c:layout>
                <c:manualLayout>
                  <c:x val="-2.1785046100006731E-2"/>
                  <c:y val="3.8397419386231542E-2"/>
                </c:manualLayout>
              </c:layout>
              <c:tx>
                <c:rich>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US" sz="900"/>
                      <a:t>y = 140.4x-0.972</a:t>
                    </a:r>
                  </a:p>
                </c:rich>
              </c:tx>
              <c:numFmt formatCode="General" sourceLinked="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rendlineLbl>
          </c:trendline>
          <c:xVal>
            <c:numRef>
              <c:f>fits_ref!$N$7:$N$17</c:f>
              <c:numCache>
                <c:formatCode>General</c:formatCode>
                <c:ptCount val="11"/>
                <c:pt idx="0">
                  <c:v>38.235294117647001</c:v>
                </c:pt>
                <c:pt idx="1">
                  <c:v>39.2156862745098</c:v>
                </c:pt>
                <c:pt idx="2">
                  <c:v>41.421568627450903</c:v>
                </c:pt>
                <c:pt idx="3">
                  <c:v>43.137254901960802</c:v>
                </c:pt>
                <c:pt idx="4">
                  <c:v>48.039215686274503</c:v>
                </c:pt>
                <c:pt idx="5">
                  <c:v>49.264705882352899</c:v>
                </c:pt>
                <c:pt idx="6">
                  <c:v>50.245098039215598</c:v>
                </c:pt>
                <c:pt idx="7">
                  <c:v>57.843137254901897</c:v>
                </c:pt>
                <c:pt idx="8">
                  <c:v>58.823529411764703</c:v>
                </c:pt>
                <c:pt idx="9">
                  <c:v>59.803921568627402</c:v>
                </c:pt>
                <c:pt idx="10">
                  <c:v>69.117647058823493</c:v>
                </c:pt>
              </c:numCache>
            </c:numRef>
          </c:xVal>
          <c:yVal>
            <c:numRef>
              <c:f>fits_ref!$O$7:$O$17</c:f>
              <c:numCache>
                <c:formatCode>General</c:formatCode>
                <c:ptCount val="11"/>
                <c:pt idx="0">
                  <c:v>3.9983623246138098</c:v>
                </c:pt>
                <c:pt idx="1">
                  <c:v>3.9194293217663301</c:v>
                </c:pt>
                <c:pt idx="2">
                  <c:v>3.7615817583617299</c:v>
                </c:pt>
                <c:pt idx="3">
                  <c:v>3.5924106286607902</c:v>
                </c:pt>
                <c:pt idx="4">
                  <c:v>3.2767523864323702</c:v>
                </c:pt>
                <c:pt idx="5">
                  <c:v>3.2091245075908401</c:v>
                </c:pt>
                <c:pt idx="6">
                  <c:v>3.1189048230277798</c:v>
                </c:pt>
                <c:pt idx="7">
                  <c:v>2.7808760825624401</c:v>
                </c:pt>
                <c:pt idx="8">
                  <c:v>2.7358031248616799</c:v>
                </c:pt>
                <c:pt idx="9">
                  <c:v>2.6568701220141899</c:v>
                </c:pt>
                <c:pt idx="10">
                  <c:v>2.1722436152790601</c:v>
                </c:pt>
              </c:numCache>
            </c:numRef>
          </c:yVal>
          <c:smooth val="0"/>
          <c:extLst>
            <c:ext xmlns:c16="http://schemas.microsoft.com/office/drawing/2014/chart" uri="{C3380CC4-5D6E-409C-BE32-E72D297353CC}">
              <c16:uniqueId val="{00000007-A4D8-4726-8006-B31C85F8FEC9}"/>
            </c:ext>
          </c:extLst>
        </c:ser>
        <c:ser>
          <c:idx val="4"/>
          <c:order val="4"/>
          <c:tx>
            <c:strRef>
              <c:f>fits_ref!$N$5</c:f>
              <c:strCache>
                <c:ptCount val="1"/>
                <c:pt idx="0">
                  <c:v>Kobelco SGH120</c:v>
                </c:pt>
              </c:strCache>
            </c:strRef>
          </c:tx>
          <c:spPr>
            <a:ln w="25400" cap="rnd">
              <a:noFill/>
              <a:round/>
            </a:ln>
            <a:effectLst/>
          </c:spPr>
          <c:marker>
            <c:symbol val="square"/>
            <c:size val="7"/>
            <c:spPr>
              <a:solidFill>
                <a:schemeClr val="bg1">
                  <a:lumMod val="50000"/>
                </a:schemeClr>
              </a:solidFill>
              <a:ln w="25400">
                <a:noFill/>
              </a:ln>
              <a:effectLst/>
            </c:spPr>
          </c:marker>
          <c:trendline>
            <c:spPr>
              <a:ln w="25400" cap="rnd">
                <a:solidFill>
                  <a:schemeClr val="bg1">
                    <a:lumMod val="50000"/>
                  </a:schemeClr>
                </a:solidFill>
                <a:prstDash val="sysDash"/>
              </a:ln>
              <a:effectLst/>
            </c:spPr>
            <c:trendlineType val="power"/>
            <c:dispRSqr val="1"/>
            <c:dispEq val="1"/>
            <c:trendlineLbl>
              <c:layout>
                <c:manualLayout>
                  <c:x val="-4.2711487987078536E-2"/>
                  <c:y val="-0.15477441578917583"/>
                </c:manualLayout>
              </c:layout>
              <c:tx>
                <c:rich>
                  <a:bodyPr rot="0" spcFirstLastPara="1" vertOverflow="ellipsis" vert="horz" wrap="square" anchor="ctr" anchorCtr="1"/>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900">
                        <a:solidFill>
                          <a:schemeClr val="bg1">
                            <a:lumMod val="50000"/>
                          </a:schemeClr>
                        </a:solidFill>
                      </a:rPr>
                      <a:t>y = 126.24x-0.897</a:t>
                    </a: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trendlineLbl>
          </c:trendline>
          <c:xVal>
            <c:numRef>
              <c:f>fits_ref!$P$7:$P$22</c:f>
              <c:numCache>
                <c:formatCode>General</c:formatCode>
                <c:ptCount val="16"/>
                <c:pt idx="0">
                  <c:v>64.705882352941103</c:v>
                </c:pt>
                <c:pt idx="1">
                  <c:v>74.019607843137194</c:v>
                </c:pt>
                <c:pt idx="2">
                  <c:v>74.509803921568604</c:v>
                </c:pt>
                <c:pt idx="3">
                  <c:v>81.862745098039198</c:v>
                </c:pt>
                <c:pt idx="4">
                  <c:v>83.823529411764696</c:v>
                </c:pt>
                <c:pt idx="5">
                  <c:v>83.823529411764696</c:v>
                </c:pt>
                <c:pt idx="6">
                  <c:v>92.156862745097996</c:v>
                </c:pt>
                <c:pt idx="7">
                  <c:v>95.0980392156862</c:v>
                </c:pt>
                <c:pt idx="8">
                  <c:v>95.343137254901904</c:v>
                </c:pt>
                <c:pt idx="9">
                  <c:v>102.941176470588</c:v>
                </c:pt>
                <c:pt idx="10">
                  <c:v>105.14705882352899</c:v>
                </c:pt>
                <c:pt idx="11">
                  <c:v>105.88235294117599</c:v>
                </c:pt>
                <c:pt idx="12">
                  <c:v>112.00980392156799</c:v>
                </c:pt>
                <c:pt idx="13">
                  <c:v>114.705882352941</c:v>
                </c:pt>
                <c:pt idx="14">
                  <c:v>115.686274509803</c:v>
                </c:pt>
                <c:pt idx="15">
                  <c:v>125.24509803921499</c:v>
                </c:pt>
              </c:numCache>
            </c:numRef>
          </c:xVal>
          <c:yVal>
            <c:numRef>
              <c:f>fits_ref!$Q$7:$Q$22</c:f>
              <c:numCache>
                <c:formatCode>General</c:formatCode>
                <c:ptCount val="16"/>
                <c:pt idx="0">
                  <c:v>2.8378258752711001</c:v>
                </c:pt>
                <c:pt idx="1">
                  <c:v>2.66922645657209</c:v>
                </c:pt>
                <c:pt idx="2">
                  <c:v>2.5112497971347998</c:v>
                </c:pt>
                <c:pt idx="3">
                  <c:v>2.5795231561398002</c:v>
                </c:pt>
                <c:pt idx="4">
                  <c:v>2.4216571504448199</c:v>
                </c:pt>
                <c:pt idx="5">
                  <c:v>2.24107024299561</c:v>
                </c:pt>
                <c:pt idx="6">
                  <c:v>2.2529839625842798</c:v>
                </c:pt>
                <c:pt idx="7">
                  <c:v>2.28706531521562</c:v>
                </c:pt>
                <c:pt idx="8">
                  <c:v>2.12907021348795</c:v>
                </c:pt>
                <c:pt idx="9">
                  <c:v>2.01677510733413</c:v>
                </c:pt>
                <c:pt idx="10">
                  <c:v>1.99436772451644</c:v>
                </c:pt>
                <c:pt idx="11">
                  <c:v>2.0734298233966202</c:v>
                </c:pt>
                <c:pt idx="12">
                  <c:v>1.6449969754643701</c:v>
                </c:pt>
                <c:pt idx="13">
                  <c:v>1.80321338467667</c:v>
                </c:pt>
                <c:pt idx="14">
                  <c:v>1.8258605172693601</c:v>
                </c:pt>
                <c:pt idx="15">
                  <c:v>1.49926599684268</c:v>
                </c:pt>
              </c:numCache>
            </c:numRef>
          </c:yVal>
          <c:smooth val="0"/>
          <c:extLst>
            <c:ext xmlns:c16="http://schemas.microsoft.com/office/drawing/2014/chart" uri="{C3380CC4-5D6E-409C-BE32-E72D297353CC}">
              <c16:uniqueId val="{00000009-A4D8-4726-8006-B31C85F8FEC9}"/>
            </c:ext>
          </c:extLst>
        </c:ser>
        <c:ser>
          <c:idx val="5"/>
          <c:order val="5"/>
          <c:tx>
            <c:v>COP calculated</c:v>
          </c:tx>
          <c:spPr>
            <a:ln w="25400" cap="rnd">
              <a:noFill/>
              <a:round/>
            </a:ln>
            <a:effectLst/>
          </c:spPr>
          <c:marker>
            <c:symbol val="circle"/>
            <c:size val="20"/>
            <c:spPr>
              <a:solidFill>
                <a:srgbClr val="FF0000"/>
              </a:solidFill>
              <a:ln w="31750">
                <a:solidFill>
                  <a:srgbClr val="FF0000"/>
                </a:solidFill>
              </a:ln>
              <a:effectLst/>
            </c:spPr>
          </c:marker>
          <c:xVal>
            <c:numRef>
              <c:f>'COP-subcritical'!$D$26</c:f>
              <c:numCache>
                <c:formatCode>0.0</c:formatCode>
                <c:ptCount val="1"/>
                <c:pt idx="0">
                  <c:v>0</c:v>
                </c:pt>
              </c:numCache>
            </c:numRef>
          </c:xVal>
          <c:yVal>
            <c:numRef>
              <c:f>'COP-subcritical'!$D$17</c:f>
              <c:numCache>
                <c:formatCode>0.00</c:formatCode>
                <c:ptCount val="1"/>
                <c:pt idx="0">
                  <c:v>0</c:v>
                </c:pt>
              </c:numCache>
            </c:numRef>
          </c:yVal>
          <c:smooth val="0"/>
          <c:extLst>
            <c:ext xmlns:c16="http://schemas.microsoft.com/office/drawing/2014/chart" uri="{C3380CC4-5D6E-409C-BE32-E72D297353CC}">
              <c16:uniqueId val="{0000000A-A4D8-4726-8006-B31C85F8FEC9}"/>
            </c:ext>
          </c:extLst>
        </c:ser>
        <c:dLbls>
          <c:showLegendKey val="0"/>
          <c:showVal val="0"/>
          <c:showCatName val="0"/>
          <c:showSerName val="0"/>
          <c:showPercent val="0"/>
          <c:showBubbleSize val="0"/>
        </c:dLbls>
        <c:axId val="192320783"/>
        <c:axId val="193887503"/>
      </c:scatterChart>
      <c:valAx>
        <c:axId val="192320783"/>
        <c:scaling>
          <c:orientation val="minMax"/>
          <c:max val="15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de-CH" sz="1200" b="1"/>
                  <a:t>dT_Lift in K</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3887503"/>
        <c:crosses val="autoZero"/>
        <c:crossBetween val="midCat"/>
        <c:majorUnit val="10"/>
      </c:valAx>
      <c:valAx>
        <c:axId val="193887503"/>
        <c:scaling>
          <c:orientation val="minMax"/>
          <c:max val="8"/>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de-CH" sz="1200" b="1"/>
                  <a:t>COP [-]</a:t>
                </a:r>
              </a:p>
              <a:p>
                <a:pPr>
                  <a:defRPr sz="1200" b="1"/>
                </a:pPr>
                <a:endParaRPr lang="de-CH"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2320783"/>
        <c:crosses val="autoZero"/>
        <c:crossBetween val="midCat"/>
        <c:majorUnit val="1"/>
        <c:minorUnit val="0.1"/>
      </c:valAx>
      <c:spPr>
        <a:noFill/>
        <a:ln w="12700">
          <a:solidFill>
            <a:schemeClr val="tx1"/>
          </a:solidFill>
        </a:ln>
        <a:effectLst/>
      </c:spPr>
    </c:plotArea>
    <c:legend>
      <c:legendPos val="r"/>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71327518675550172"/>
          <c:y val="0.13978403914290535"/>
          <c:w val="0.23851457029409789"/>
          <c:h val="0.4296823473472705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lumMod val="50000"/>
                  </a:schemeClr>
                </a:solidFill>
                <a:latin typeface="+mn-lt"/>
                <a:ea typeface="+mn-ea"/>
                <a:cs typeface="+mn-cs"/>
              </a:defRPr>
            </a:pPr>
            <a:r>
              <a:rPr lang="de-CH">
                <a:solidFill>
                  <a:schemeClr val="bg1">
                    <a:lumMod val="50000"/>
                  </a:schemeClr>
                </a:solidFill>
              </a:rPr>
              <a:t>High pressure convergence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lumMod val="50000"/>
                </a:schemeClr>
              </a:solidFill>
              <a:latin typeface="+mn-lt"/>
              <a:ea typeface="+mn-ea"/>
              <a:cs typeface="+mn-cs"/>
            </a:defRPr>
          </a:pPr>
          <a:endParaRPr lang="de-DE"/>
        </a:p>
      </c:txPr>
    </c:title>
    <c:autoTitleDeleted val="0"/>
    <c:plotArea>
      <c:layout/>
      <c:scatterChart>
        <c:scatterStyle val="smoothMarker"/>
        <c:varyColors val="0"/>
        <c:ser>
          <c:idx val="0"/>
          <c:order val="0"/>
          <c:spPr>
            <a:ln w="19050" cap="rnd">
              <a:solidFill>
                <a:schemeClr val="accent1">
                  <a:lumMod val="40000"/>
                  <a:lumOff val="60000"/>
                </a:schemeClr>
              </a:solidFill>
              <a:round/>
            </a:ln>
            <a:effectLst/>
          </c:spPr>
          <c:marker>
            <c:symbol val="circle"/>
            <c:size val="5"/>
            <c:spPr>
              <a:solidFill>
                <a:schemeClr val="accent1"/>
              </a:solidFill>
              <a:ln w="9525">
                <a:solidFill>
                  <a:schemeClr val="accent1"/>
                </a:solidFill>
              </a:ln>
              <a:effectLst/>
            </c:spPr>
          </c:marker>
          <c:xVal>
            <c:numRef>
              <c:f>'COP-transcritical'!$T$18:$T$38</c:f>
              <c:numCache>
                <c:formatCode>General</c:formatCode>
                <c:ptCount val="21"/>
                <c:pt idx="0">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xVal>
          <c:yVal>
            <c:numRef>
              <c:f>'COP-transcritical'!$V$18:$V$38</c:f>
              <c:numCache>
                <c:formatCode>0.00E+00</c:formatCode>
                <c:ptCount val="21"/>
                <c:pt idx="0">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1"/>
          <c:extLst>
            <c:ext xmlns:c16="http://schemas.microsoft.com/office/drawing/2014/chart" uri="{C3380CC4-5D6E-409C-BE32-E72D297353CC}">
              <c16:uniqueId val="{00000000-0B2D-42FB-A999-0850E3635421}"/>
            </c:ext>
          </c:extLst>
        </c:ser>
        <c:dLbls>
          <c:showLegendKey val="0"/>
          <c:showVal val="0"/>
          <c:showCatName val="0"/>
          <c:showSerName val="0"/>
          <c:showPercent val="0"/>
          <c:showBubbleSize val="0"/>
        </c:dLbls>
        <c:axId val="1889716960"/>
        <c:axId val="1868628288"/>
      </c:scatterChart>
      <c:valAx>
        <c:axId val="18897169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de-CH">
                    <a:solidFill>
                      <a:schemeClr val="bg1">
                        <a:lumMod val="50000"/>
                      </a:schemeClr>
                    </a:solidFill>
                  </a:rPr>
                  <a:t>step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1868628288"/>
        <c:crosses val="autoZero"/>
        <c:crossBetween val="midCat"/>
      </c:valAx>
      <c:valAx>
        <c:axId val="1868628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de-CH">
                    <a:solidFill>
                      <a:schemeClr val="bg1">
                        <a:lumMod val="50000"/>
                      </a:schemeClr>
                    </a:solidFill>
                  </a:rPr>
                  <a:t>Pressure [Pa]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de-DE"/>
            </a:p>
          </c:txPr>
        </c:title>
        <c:numFmt formatCode="0.00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18897169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solidFill>
                <a:latin typeface="Arial" panose="020B0604020202020204" pitchFamily="34" charset="0"/>
                <a:ea typeface="+mn-ea"/>
                <a:cs typeface="Arial" panose="020B0604020202020204" pitchFamily="34" charset="0"/>
              </a:defRPr>
            </a:pPr>
            <a:r>
              <a:rPr lang="de-CH" sz="2400"/>
              <a:t>COP Fit Curves VHTHPs</a:t>
            </a:r>
          </a:p>
        </c:rich>
      </c:tx>
      <c:layout>
        <c:manualLayout>
          <c:xMode val="edge"/>
          <c:yMode val="edge"/>
          <c:x val="0.15988841779392959"/>
          <c:y val="2.0794007340088103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9.5967965542768707E-2"/>
          <c:y val="0.14754909920225862"/>
          <c:w val="0.60511609125782351"/>
          <c:h val="0.72503030745437169"/>
        </c:manualLayout>
      </c:layout>
      <c:scatterChart>
        <c:scatterStyle val="lineMarker"/>
        <c:varyColors val="0"/>
        <c:ser>
          <c:idx val="2"/>
          <c:order val="0"/>
          <c:tx>
            <c:strRef>
              <c:f>fits_ref!$F$3</c:f>
              <c:strCache>
                <c:ptCount val="1"/>
                <c:pt idx="0">
                  <c:v>Schlosser et al. (2020)</c:v>
                </c:pt>
              </c:strCache>
            </c:strRef>
          </c:tx>
          <c:spPr>
            <a:ln w="25400" cap="rnd">
              <a:noFill/>
              <a:round/>
            </a:ln>
            <a:effectLst/>
          </c:spPr>
          <c:marker>
            <c:symbol val="circle"/>
            <c:size val="8"/>
            <c:spPr>
              <a:solidFill>
                <a:schemeClr val="accent6">
                  <a:lumMod val="60000"/>
                  <a:lumOff val="40000"/>
                </a:schemeClr>
              </a:solidFill>
              <a:ln w="9525">
                <a:noFill/>
              </a:ln>
              <a:effectLst/>
            </c:spPr>
          </c:marker>
          <c:trendline>
            <c:spPr>
              <a:ln w="25400" cap="rnd">
                <a:solidFill>
                  <a:schemeClr val="accent6">
                    <a:lumMod val="40000"/>
                    <a:lumOff val="60000"/>
                  </a:schemeClr>
                </a:solidFill>
                <a:prstDash val="sysDash"/>
              </a:ln>
              <a:effectLst/>
            </c:spPr>
            <c:trendlineType val="power"/>
            <c:dispRSqr val="1"/>
            <c:dispEq val="1"/>
            <c:trendlineLbl>
              <c:layout>
                <c:manualLayout>
                  <c:x val="-0.16724840164210242"/>
                  <c:y val="-0.54089700552119757"/>
                </c:manualLayout>
              </c:layout>
              <c:tx>
                <c:rich>
                  <a:bodyPr rot="0" spcFirstLastPara="1" vertOverflow="ellipsis" vert="horz" wrap="square" anchor="ctr" anchorCtr="1"/>
                  <a:lstStyle/>
                  <a:p>
                    <a:pPr>
                      <a:defRPr sz="900" b="0" i="0" u="none" strike="noStrike" kern="1200" baseline="0">
                        <a:solidFill>
                          <a:schemeClr val="accent6"/>
                        </a:solidFill>
                        <a:latin typeface="Arial" panose="020B0604020202020204" pitchFamily="34" charset="0"/>
                        <a:ea typeface="+mn-ea"/>
                        <a:cs typeface="Arial" panose="020B0604020202020204" pitchFamily="34" charset="0"/>
                      </a:defRPr>
                    </a:pPr>
                    <a:r>
                      <a:rPr lang="en-US" sz="900">
                        <a:solidFill>
                          <a:schemeClr val="accent6"/>
                        </a:solidFill>
                      </a:rPr>
                      <a:t>y = 110.38x-0.888</a:t>
                    </a: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6"/>
                      </a:solidFill>
                      <a:latin typeface="Arial" panose="020B0604020202020204" pitchFamily="34" charset="0"/>
                      <a:ea typeface="+mn-ea"/>
                      <a:cs typeface="Arial" panose="020B0604020202020204" pitchFamily="34" charset="0"/>
                    </a:defRPr>
                  </a:pPr>
                  <a:endParaRPr lang="de-DE"/>
                </a:p>
              </c:txPr>
            </c:trendlineLbl>
          </c:trendline>
          <c:xVal>
            <c:numRef>
              <c:f>fits_ref!$B$13:$B$31</c:f>
              <c:numCache>
                <c:formatCode>General</c:formatCode>
                <c:ptCount val="1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numCache>
            </c:numRef>
          </c:xVal>
          <c:yVal>
            <c:numRef>
              <c:f>fits_ref!$F$13:$F$31</c:f>
              <c:numCache>
                <c:formatCode>0.0</c:formatCode>
                <c:ptCount val="19"/>
                <c:pt idx="0">
                  <c:v>14.325565563763988</c:v>
                </c:pt>
                <c:pt idx="1">
                  <c:v>10.008213663516965</c:v>
                </c:pt>
                <c:pt idx="2" formatCode="0.00">
                  <c:v>7.7555153699721329</c:v>
                </c:pt>
                <c:pt idx="3">
                  <c:v>6.3622431468780611</c:v>
                </c:pt>
                <c:pt idx="4">
                  <c:v>5.4111772628133252</c:v>
                </c:pt>
                <c:pt idx="5">
                  <c:v>4.7185502323599851</c:v>
                </c:pt>
                <c:pt idx="6">
                  <c:v>4.1904733028526415</c:v>
                </c:pt>
                <c:pt idx="7">
                  <c:v>3.7738448476145923</c:v>
                </c:pt>
                <c:pt idx="8">
                  <c:v>3.4363129792207197</c:v>
                </c:pt>
                <c:pt idx="9">
                  <c:v>3.1570130972540413</c:v>
                </c:pt>
                <c:pt idx="10">
                  <c:v>2.9218692361070207</c:v>
                </c:pt>
                <c:pt idx="11">
                  <c:v>2.7210317171050611</c:v>
                </c:pt>
                <c:pt idx="12">
                  <c:v>2.5473962856002306</c:v>
                </c:pt>
                <c:pt idx="13">
                  <c:v>2.3957064659742908</c:v>
                </c:pt>
                <c:pt idx="14">
                  <c:v>2.2619872795248233</c:v>
                </c:pt>
                <c:pt idx="15">
                  <c:v>2.1431756726576783</c:v>
                </c:pt>
                <c:pt idx="16">
                  <c:v>2.0368721731379811</c:v>
                </c:pt>
                <c:pt idx="17">
                  <c:v>1.9411697109209656</c:v>
                </c:pt>
                <c:pt idx="18">
                  <c:v>1.85453296178023</c:v>
                </c:pt>
              </c:numCache>
            </c:numRef>
          </c:yVal>
          <c:smooth val="0"/>
          <c:extLst>
            <c:ext xmlns:c16="http://schemas.microsoft.com/office/drawing/2014/chart" uri="{C3380CC4-5D6E-409C-BE32-E72D297353CC}">
              <c16:uniqueId val="{00000001-CFA6-4A9D-84F1-1AFF4BC885C0}"/>
            </c:ext>
          </c:extLst>
        </c:ser>
        <c:ser>
          <c:idx val="0"/>
          <c:order val="1"/>
          <c:tx>
            <c:strRef>
              <c:f>fits_ref!$C$3</c:f>
              <c:strCache>
                <c:ptCount val="1"/>
                <c:pt idx="0">
                  <c:v>Arpagaus et al. (2018)</c:v>
                </c:pt>
              </c:strCache>
            </c:strRef>
          </c:tx>
          <c:spPr>
            <a:ln w="19050" cap="rnd">
              <a:noFill/>
              <a:round/>
            </a:ln>
            <a:effectLst/>
          </c:spPr>
          <c:marker>
            <c:symbol val="circle"/>
            <c:size val="8"/>
            <c:spPr>
              <a:solidFill>
                <a:schemeClr val="accent1">
                  <a:lumMod val="40000"/>
                  <a:lumOff val="60000"/>
                </a:schemeClr>
              </a:solidFill>
              <a:ln w="9525">
                <a:noFill/>
              </a:ln>
              <a:effectLst/>
            </c:spPr>
          </c:marker>
          <c:trendline>
            <c:spPr>
              <a:ln w="25400" cap="rnd">
                <a:solidFill>
                  <a:schemeClr val="accent1">
                    <a:lumMod val="20000"/>
                    <a:lumOff val="80000"/>
                  </a:schemeClr>
                </a:solidFill>
                <a:prstDash val="sysDash"/>
              </a:ln>
              <a:effectLst/>
            </c:spPr>
            <c:trendlineType val="power"/>
            <c:dispRSqr val="1"/>
            <c:dispEq val="1"/>
            <c:trendlineLbl>
              <c:layout>
                <c:manualLayout>
                  <c:x val="-0.13608318190995355"/>
                  <c:y val="-0.41098278797469529"/>
                </c:manualLayout>
              </c:layout>
              <c:tx>
                <c:rich>
                  <a:bodyPr rot="0" spcFirstLastPara="1" vertOverflow="ellipsis" vert="horz" wrap="square" anchor="ctr" anchorCtr="1"/>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r>
                      <a:rPr lang="en-US" sz="900">
                        <a:solidFill>
                          <a:schemeClr val="accent1"/>
                        </a:solidFill>
                      </a:rPr>
                      <a:t>y = 68.455x-0.76</a:t>
                    </a: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de-DE"/>
                </a:p>
              </c:txPr>
            </c:trendlineLbl>
          </c:trendline>
          <c:xVal>
            <c:numRef>
              <c:f>fits_ref!$B$13:$B$31</c:f>
              <c:numCache>
                <c:formatCode>General</c:formatCode>
                <c:ptCount val="1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numCache>
            </c:numRef>
          </c:xVal>
          <c:yVal>
            <c:numRef>
              <c:f>fits_ref!$C$13:$C$31</c:f>
              <c:numCache>
                <c:formatCode>0.0</c:formatCode>
                <c:ptCount val="19"/>
                <c:pt idx="0">
                  <c:v>11.896115573203845</c:v>
                </c:pt>
                <c:pt idx="1">
                  <c:v>8.7412958236066274</c:v>
                </c:pt>
                <c:pt idx="2">
                  <c:v>7.0246125957356513</c:v>
                </c:pt>
                <c:pt idx="3">
                  <c:v>5.928854168911708</c:v>
                </c:pt>
                <c:pt idx="4">
                  <c:v>5.1617031095320156</c:v>
                </c:pt>
                <c:pt idx="5">
                  <c:v>4.5910652068340152</c:v>
                </c:pt>
                <c:pt idx="6">
                  <c:v>4.1480079624746224</c:v>
                </c:pt>
                <c:pt idx="7">
                  <c:v>3.7928325054005763</c:v>
                </c:pt>
                <c:pt idx="8">
                  <c:v>3.5009666320853023</c:v>
                </c:pt>
                <c:pt idx="9">
                  <c:v>3.2563384011895073</c:v>
                </c:pt>
                <c:pt idx="10">
                  <c:v>3.0479667464176496</c:v>
                </c:pt>
                <c:pt idx="11">
                  <c:v>2.8680784329213895</c:v>
                </c:pt>
                <c:pt idx="12">
                  <c:v>2.7110071587077096</c:v>
                </c:pt>
                <c:pt idx="13">
                  <c:v>2.5725191396565648</c:v>
                </c:pt>
                <c:pt idx="14">
                  <c:v>2.4493834816168953</c:v>
                </c:pt>
                <c:pt idx="15">
                  <c:v>2.3390892405192409</c:v>
                </c:pt>
                <c:pt idx="16">
                  <c:v>2.2396536774547293</c:v>
                </c:pt>
                <c:pt idx="17">
                  <c:v>2.1494890386851755</c:v>
                </c:pt>
                <c:pt idx="18">
                  <c:v>2.0673079502011991</c:v>
                </c:pt>
              </c:numCache>
            </c:numRef>
          </c:yVal>
          <c:smooth val="0"/>
          <c:extLst>
            <c:ext xmlns:c16="http://schemas.microsoft.com/office/drawing/2014/chart" uri="{C3380CC4-5D6E-409C-BE32-E72D297353CC}">
              <c16:uniqueId val="{00000003-CFA6-4A9D-84F1-1AFF4BC885C0}"/>
            </c:ext>
          </c:extLst>
        </c:ser>
        <c:ser>
          <c:idx val="1"/>
          <c:order val="2"/>
          <c:tx>
            <c:strRef>
              <c:f>fits_ref!$E$3</c:f>
              <c:strCache>
                <c:ptCount val="1"/>
                <c:pt idx="0">
                  <c:v>Schlosser et al. (2020)</c:v>
                </c:pt>
              </c:strCache>
            </c:strRef>
          </c:tx>
          <c:spPr>
            <a:ln w="25400" cap="rnd">
              <a:noFill/>
              <a:round/>
            </a:ln>
            <a:effectLst/>
          </c:spPr>
          <c:marker>
            <c:symbol val="circle"/>
            <c:size val="8"/>
            <c:spPr>
              <a:solidFill>
                <a:schemeClr val="accent2">
                  <a:lumMod val="40000"/>
                  <a:lumOff val="60000"/>
                </a:schemeClr>
              </a:solidFill>
              <a:ln w="9525">
                <a:noFill/>
              </a:ln>
              <a:effectLst/>
            </c:spPr>
          </c:marker>
          <c:trendline>
            <c:spPr>
              <a:ln w="25400" cap="rnd">
                <a:solidFill>
                  <a:schemeClr val="accent2">
                    <a:lumMod val="20000"/>
                    <a:lumOff val="80000"/>
                  </a:schemeClr>
                </a:solidFill>
                <a:prstDash val="sysDash"/>
              </a:ln>
              <a:effectLst/>
            </c:spPr>
            <c:trendlineType val="power"/>
            <c:dispRSqr val="1"/>
            <c:dispEq val="1"/>
            <c:trendlineLbl>
              <c:layout>
                <c:manualLayout>
                  <c:x val="-0.33819718689010025"/>
                  <c:y val="-0.14296088301080068"/>
                </c:manualLayout>
              </c:layout>
              <c:tx>
                <c:rich>
                  <a:bodyPr rot="0" spcFirstLastPara="1" vertOverflow="ellipsis" vert="horz" wrap="square" anchor="ctr" anchorCtr="1"/>
                  <a:lstStyle/>
                  <a:p>
                    <a:pPr>
                      <a:defRPr sz="900" b="0" i="0" u="none" strike="noStrike" kern="1200" baseline="0">
                        <a:solidFill>
                          <a:schemeClr val="accent2"/>
                        </a:solidFill>
                        <a:latin typeface="Arial" panose="020B0604020202020204" pitchFamily="34" charset="0"/>
                        <a:ea typeface="+mn-ea"/>
                        <a:cs typeface="Arial" panose="020B0604020202020204" pitchFamily="34" charset="0"/>
                      </a:defRPr>
                    </a:pPr>
                    <a:r>
                      <a:rPr lang="en-US" sz="900">
                        <a:solidFill>
                          <a:schemeClr val="accent2"/>
                        </a:solidFill>
                      </a:rPr>
                      <a:t>y = 23.603x-0.52</a:t>
                    </a: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2"/>
                      </a:solidFill>
                      <a:latin typeface="Arial" panose="020B0604020202020204" pitchFamily="34" charset="0"/>
                      <a:ea typeface="+mn-ea"/>
                      <a:cs typeface="Arial" panose="020B0604020202020204" pitchFamily="34" charset="0"/>
                    </a:defRPr>
                  </a:pPr>
                  <a:endParaRPr lang="de-DE"/>
                </a:p>
              </c:txPr>
            </c:trendlineLbl>
          </c:trendline>
          <c:xVal>
            <c:numRef>
              <c:f>fits_ref!$B$13:$B$31</c:f>
              <c:numCache>
                <c:formatCode>General</c:formatCode>
                <c:ptCount val="1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numCache>
            </c:numRef>
          </c:xVal>
          <c:yVal>
            <c:numRef>
              <c:f>fits_ref!$E$13:$E$31</c:f>
              <c:numCache>
                <c:formatCode>0.0</c:formatCode>
                <c:ptCount val="19"/>
                <c:pt idx="0">
                  <c:v>7.1225251025518412</c:v>
                </c:pt>
                <c:pt idx="1">
                  <c:v>5.7737512104091087</c:v>
                </c:pt>
                <c:pt idx="2">
                  <c:v>4.9731986870068363</c:v>
                </c:pt>
                <c:pt idx="3">
                  <c:v>4.4289449480732506</c:v>
                </c:pt>
                <c:pt idx="4">
                  <c:v>4.0285115049820153</c:v>
                </c:pt>
                <c:pt idx="5">
                  <c:v>3.7181880952371706</c:v>
                </c:pt>
                <c:pt idx="6">
                  <c:v>3.4686798313791032</c:v>
                </c:pt>
                <c:pt idx="7">
                  <c:v>3.2624797241489216</c:v>
                </c:pt>
                <c:pt idx="8">
                  <c:v>3.0884007182112909</c:v>
                </c:pt>
                <c:pt idx="9">
                  <c:v>2.9389178222150996</c:v>
                </c:pt>
                <c:pt idx="10">
                  <c:v>2.8087594264119473</c:v>
                </c:pt>
                <c:pt idx="11">
                  <c:v>2.6941086067126534</c:v>
                </c:pt>
                <c:pt idx="12">
                  <c:v>2.5921250688496658</c:v>
                </c:pt>
                <c:pt idx="13">
                  <c:v>2.5006459764814912</c:v>
                </c:pt>
                <c:pt idx="14">
                  <c:v>2.4179916096218852</c:v>
                </c:pt>
                <c:pt idx="15">
                  <c:v>2.3428350512073801</c:v>
                </c:pt>
                <c:pt idx="16">
                  <c:v>2.2741123864547323</c:v>
                </c:pt>
                <c:pt idx="17">
                  <c:v>2.210959330363349</c:v>
                </c:pt>
                <c:pt idx="18">
                  <c:v>2.1526655609418461</c:v>
                </c:pt>
              </c:numCache>
            </c:numRef>
          </c:yVal>
          <c:smooth val="0"/>
          <c:extLst>
            <c:ext xmlns:c16="http://schemas.microsoft.com/office/drawing/2014/chart" uri="{C3380CC4-5D6E-409C-BE32-E72D297353CC}">
              <c16:uniqueId val="{00000005-CFA6-4A9D-84F1-1AFF4BC885C0}"/>
            </c:ext>
          </c:extLst>
        </c:ser>
        <c:ser>
          <c:idx val="3"/>
          <c:order val="3"/>
          <c:tx>
            <c:strRef>
              <c:f>fits_ref!$N$5</c:f>
              <c:strCache>
                <c:ptCount val="1"/>
                <c:pt idx="0">
                  <c:v>Kobelco SGH120</c:v>
                </c:pt>
              </c:strCache>
            </c:strRef>
          </c:tx>
          <c:spPr>
            <a:ln w="25400" cap="rnd">
              <a:noFill/>
              <a:round/>
            </a:ln>
            <a:effectLst/>
          </c:spPr>
          <c:marker>
            <c:symbol val="square"/>
            <c:size val="8"/>
            <c:spPr>
              <a:solidFill>
                <a:schemeClr val="bg1"/>
              </a:solidFill>
              <a:ln w="12700">
                <a:solidFill>
                  <a:schemeClr val="tx1"/>
                </a:solidFill>
              </a:ln>
              <a:effectLst/>
            </c:spPr>
          </c:marker>
          <c:trendline>
            <c:spPr>
              <a:ln w="25400" cap="rnd">
                <a:solidFill>
                  <a:schemeClr val="tx1"/>
                </a:solidFill>
                <a:prstDash val="sysDash"/>
              </a:ln>
              <a:effectLst/>
            </c:spPr>
            <c:trendlineType val="power"/>
            <c:dispRSqr val="1"/>
            <c:dispEq val="1"/>
            <c:trendlineLbl>
              <c:layout>
                <c:manualLayout>
                  <c:x val="-2.1785046100006731E-2"/>
                  <c:y val="3.8397419386231542E-2"/>
                </c:manualLayout>
              </c:layout>
              <c:tx>
                <c:rich>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US" sz="900"/>
                      <a:t>y = 140.4x-0.972</a:t>
                    </a:r>
                  </a:p>
                </c:rich>
              </c:tx>
              <c:numFmt formatCode="General" sourceLinked="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rendlineLbl>
          </c:trendline>
          <c:xVal>
            <c:numRef>
              <c:f>fits_ref!$N$7:$N$17</c:f>
              <c:numCache>
                <c:formatCode>General</c:formatCode>
                <c:ptCount val="11"/>
                <c:pt idx="0">
                  <c:v>38.235294117647001</c:v>
                </c:pt>
                <c:pt idx="1">
                  <c:v>39.2156862745098</c:v>
                </c:pt>
                <c:pt idx="2">
                  <c:v>41.421568627450903</c:v>
                </c:pt>
                <c:pt idx="3">
                  <c:v>43.137254901960802</c:v>
                </c:pt>
                <c:pt idx="4">
                  <c:v>48.039215686274503</c:v>
                </c:pt>
                <c:pt idx="5">
                  <c:v>49.264705882352899</c:v>
                </c:pt>
                <c:pt idx="6">
                  <c:v>50.245098039215598</c:v>
                </c:pt>
                <c:pt idx="7">
                  <c:v>57.843137254901897</c:v>
                </c:pt>
                <c:pt idx="8">
                  <c:v>58.823529411764703</c:v>
                </c:pt>
                <c:pt idx="9">
                  <c:v>59.803921568627402</c:v>
                </c:pt>
                <c:pt idx="10">
                  <c:v>69.117647058823493</c:v>
                </c:pt>
              </c:numCache>
            </c:numRef>
          </c:xVal>
          <c:yVal>
            <c:numRef>
              <c:f>fits_ref!$O$7:$O$17</c:f>
              <c:numCache>
                <c:formatCode>General</c:formatCode>
                <c:ptCount val="11"/>
                <c:pt idx="0">
                  <c:v>3.9983623246138098</c:v>
                </c:pt>
                <c:pt idx="1">
                  <c:v>3.9194293217663301</c:v>
                </c:pt>
                <c:pt idx="2">
                  <c:v>3.7615817583617299</c:v>
                </c:pt>
                <c:pt idx="3">
                  <c:v>3.5924106286607902</c:v>
                </c:pt>
                <c:pt idx="4">
                  <c:v>3.2767523864323702</c:v>
                </c:pt>
                <c:pt idx="5">
                  <c:v>3.2091245075908401</c:v>
                </c:pt>
                <c:pt idx="6">
                  <c:v>3.1189048230277798</c:v>
                </c:pt>
                <c:pt idx="7">
                  <c:v>2.7808760825624401</c:v>
                </c:pt>
                <c:pt idx="8">
                  <c:v>2.7358031248616799</c:v>
                </c:pt>
                <c:pt idx="9">
                  <c:v>2.6568701220141899</c:v>
                </c:pt>
                <c:pt idx="10">
                  <c:v>2.1722436152790601</c:v>
                </c:pt>
              </c:numCache>
            </c:numRef>
          </c:yVal>
          <c:smooth val="0"/>
          <c:extLst>
            <c:ext xmlns:c16="http://schemas.microsoft.com/office/drawing/2014/chart" uri="{C3380CC4-5D6E-409C-BE32-E72D297353CC}">
              <c16:uniqueId val="{00000007-CFA6-4A9D-84F1-1AFF4BC885C0}"/>
            </c:ext>
          </c:extLst>
        </c:ser>
        <c:ser>
          <c:idx val="4"/>
          <c:order val="4"/>
          <c:tx>
            <c:strRef>
              <c:f>fits_ref!$N$5</c:f>
              <c:strCache>
                <c:ptCount val="1"/>
                <c:pt idx="0">
                  <c:v>Kobelco SGH120</c:v>
                </c:pt>
              </c:strCache>
            </c:strRef>
          </c:tx>
          <c:spPr>
            <a:ln w="25400" cap="rnd">
              <a:noFill/>
              <a:round/>
            </a:ln>
            <a:effectLst/>
          </c:spPr>
          <c:marker>
            <c:symbol val="square"/>
            <c:size val="7"/>
            <c:spPr>
              <a:solidFill>
                <a:schemeClr val="bg1">
                  <a:lumMod val="50000"/>
                </a:schemeClr>
              </a:solidFill>
              <a:ln w="25400">
                <a:noFill/>
              </a:ln>
              <a:effectLst/>
            </c:spPr>
          </c:marker>
          <c:trendline>
            <c:spPr>
              <a:ln w="25400" cap="rnd">
                <a:solidFill>
                  <a:schemeClr val="bg1">
                    <a:lumMod val="50000"/>
                  </a:schemeClr>
                </a:solidFill>
                <a:prstDash val="sysDash"/>
              </a:ln>
              <a:effectLst/>
            </c:spPr>
            <c:trendlineType val="power"/>
            <c:dispRSqr val="1"/>
            <c:dispEq val="1"/>
            <c:trendlineLbl>
              <c:layout>
                <c:manualLayout>
                  <c:x val="-4.2711487987078536E-2"/>
                  <c:y val="-0.15477441578917583"/>
                </c:manualLayout>
              </c:layout>
              <c:tx>
                <c:rich>
                  <a:bodyPr rot="0" spcFirstLastPara="1" vertOverflow="ellipsis" vert="horz" wrap="square" anchor="ctr" anchorCtr="1"/>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900">
                        <a:solidFill>
                          <a:schemeClr val="bg1">
                            <a:lumMod val="50000"/>
                          </a:schemeClr>
                        </a:solidFill>
                      </a:rPr>
                      <a:t>y = 126.24x-0.897</a:t>
                    </a: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trendlineLbl>
          </c:trendline>
          <c:xVal>
            <c:numRef>
              <c:f>fits_ref!$P$7:$P$22</c:f>
              <c:numCache>
                <c:formatCode>General</c:formatCode>
                <c:ptCount val="16"/>
                <c:pt idx="0">
                  <c:v>64.705882352941103</c:v>
                </c:pt>
                <c:pt idx="1">
                  <c:v>74.019607843137194</c:v>
                </c:pt>
                <c:pt idx="2">
                  <c:v>74.509803921568604</c:v>
                </c:pt>
                <c:pt idx="3">
                  <c:v>81.862745098039198</c:v>
                </c:pt>
                <c:pt idx="4">
                  <c:v>83.823529411764696</c:v>
                </c:pt>
                <c:pt idx="5">
                  <c:v>83.823529411764696</c:v>
                </c:pt>
                <c:pt idx="6">
                  <c:v>92.156862745097996</c:v>
                </c:pt>
                <c:pt idx="7">
                  <c:v>95.0980392156862</c:v>
                </c:pt>
                <c:pt idx="8">
                  <c:v>95.343137254901904</c:v>
                </c:pt>
                <c:pt idx="9">
                  <c:v>102.941176470588</c:v>
                </c:pt>
                <c:pt idx="10">
                  <c:v>105.14705882352899</c:v>
                </c:pt>
                <c:pt idx="11">
                  <c:v>105.88235294117599</c:v>
                </c:pt>
                <c:pt idx="12">
                  <c:v>112.00980392156799</c:v>
                </c:pt>
                <c:pt idx="13">
                  <c:v>114.705882352941</c:v>
                </c:pt>
                <c:pt idx="14">
                  <c:v>115.686274509803</c:v>
                </c:pt>
                <c:pt idx="15">
                  <c:v>125.24509803921499</c:v>
                </c:pt>
              </c:numCache>
            </c:numRef>
          </c:xVal>
          <c:yVal>
            <c:numRef>
              <c:f>fits_ref!$Q$7:$Q$22</c:f>
              <c:numCache>
                <c:formatCode>General</c:formatCode>
                <c:ptCount val="16"/>
                <c:pt idx="0">
                  <c:v>2.8378258752711001</c:v>
                </c:pt>
                <c:pt idx="1">
                  <c:v>2.66922645657209</c:v>
                </c:pt>
                <c:pt idx="2">
                  <c:v>2.5112497971347998</c:v>
                </c:pt>
                <c:pt idx="3">
                  <c:v>2.5795231561398002</c:v>
                </c:pt>
                <c:pt idx="4">
                  <c:v>2.4216571504448199</c:v>
                </c:pt>
                <c:pt idx="5">
                  <c:v>2.24107024299561</c:v>
                </c:pt>
                <c:pt idx="6">
                  <c:v>2.2529839625842798</c:v>
                </c:pt>
                <c:pt idx="7">
                  <c:v>2.28706531521562</c:v>
                </c:pt>
                <c:pt idx="8">
                  <c:v>2.12907021348795</c:v>
                </c:pt>
                <c:pt idx="9">
                  <c:v>2.01677510733413</c:v>
                </c:pt>
                <c:pt idx="10">
                  <c:v>1.99436772451644</c:v>
                </c:pt>
                <c:pt idx="11">
                  <c:v>2.0734298233966202</c:v>
                </c:pt>
                <c:pt idx="12">
                  <c:v>1.6449969754643701</c:v>
                </c:pt>
                <c:pt idx="13">
                  <c:v>1.80321338467667</c:v>
                </c:pt>
                <c:pt idx="14">
                  <c:v>1.8258605172693601</c:v>
                </c:pt>
                <c:pt idx="15">
                  <c:v>1.49926599684268</c:v>
                </c:pt>
              </c:numCache>
            </c:numRef>
          </c:yVal>
          <c:smooth val="0"/>
          <c:extLst>
            <c:ext xmlns:c16="http://schemas.microsoft.com/office/drawing/2014/chart" uri="{C3380CC4-5D6E-409C-BE32-E72D297353CC}">
              <c16:uniqueId val="{00000009-CFA6-4A9D-84F1-1AFF4BC885C0}"/>
            </c:ext>
          </c:extLst>
        </c:ser>
        <c:ser>
          <c:idx val="5"/>
          <c:order val="5"/>
          <c:tx>
            <c:v>COP calulcated</c:v>
          </c:tx>
          <c:spPr>
            <a:ln w="25400" cap="rnd">
              <a:noFill/>
              <a:round/>
            </a:ln>
            <a:effectLst/>
          </c:spPr>
          <c:marker>
            <c:symbol val="x"/>
            <c:size val="15"/>
            <c:spPr>
              <a:solidFill>
                <a:schemeClr val="bg1"/>
              </a:solidFill>
              <a:ln w="19050">
                <a:solidFill>
                  <a:srgbClr val="FF0000"/>
                </a:solidFill>
              </a:ln>
              <a:effectLst/>
            </c:spPr>
          </c:marker>
          <c:xVal>
            <c:numRef>
              <c:f>'COP-transcritical'!$D$26</c:f>
              <c:numCache>
                <c:formatCode>0.0</c:formatCode>
                <c:ptCount val="1"/>
                <c:pt idx="0">
                  <c:v>0</c:v>
                </c:pt>
              </c:numCache>
            </c:numRef>
          </c:xVal>
          <c:yVal>
            <c:numRef>
              <c:f>'COP-transcritical'!$D$17</c:f>
              <c:numCache>
                <c:formatCode>0.00</c:formatCode>
                <c:ptCount val="1"/>
                <c:pt idx="0">
                  <c:v>0</c:v>
                </c:pt>
              </c:numCache>
            </c:numRef>
          </c:yVal>
          <c:smooth val="0"/>
          <c:extLst>
            <c:ext xmlns:c16="http://schemas.microsoft.com/office/drawing/2014/chart" uri="{C3380CC4-5D6E-409C-BE32-E72D297353CC}">
              <c16:uniqueId val="{0000000A-CFA6-4A9D-84F1-1AFF4BC885C0}"/>
            </c:ext>
          </c:extLst>
        </c:ser>
        <c:dLbls>
          <c:showLegendKey val="0"/>
          <c:showVal val="0"/>
          <c:showCatName val="0"/>
          <c:showSerName val="0"/>
          <c:showPercent val="0"/>
          <c:showBubbleSize val="0"/>
        </c:dLbls>
        <c:axId val="192320783"/>
        <c:axId val="193887503"/>
      </c:scatterChart>
      <c:valAx>
        <c:axId val="192320783"/>
        <c:scaling>
          <c:orientation val="minMax"/>
          <c:max val="1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de-CH" sz="1200" b="1"/>
                  <a:t>dT_Lift in K</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3887503"/>
        <c:crosses val="autoZero"/>
        <c:crossBetween val="midCat"/>
        <c:majorUnit val="10"/>
      </c:valAx>
      <c:valAx>
        <c:axId val="193887503"/>
        <c:scaling>
          <c:orientation val="minMax"/>
          <c:max val="8"/>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de-CH" sz="1200" b="1"/>
                  <a:t>COP [-]</a:t>
                </a:r>
              </a:p>
              <a:p>
                <a:pPr>
                  <a:defRPr sz="1200" b="1"/>
                </a:pPr>
                <a:endParaRPr lang="de-CH"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2320783"/>
        <c:crosses val="autoZero"/>
        <c:crossBetween val="midCat"/>
        <c:majorUnit val="1"/>
        <c:minorUnit val="0.1"/>
      </c:valAx>
      <c:spPr>
        <a:noFill/>
        <a:ln w="12700">
          <a:solidFill>
            <a:schemeClr val="tx1"/>
          </a:solidFill>
        </a:ln>
        <a:effectLst/>
      </c:spPr>
    </c:plotArea>
    <c:legend>
      <c:legendPos val="r"/>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71327518675550172"/>
          <c:y val="0.13978403914290535"/>
          <c:w val="0.25002237552164386"/>
          <c:h val="0.3411644671176666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60" b="0" i="0" u="none" strike="noStrike" kern="1200" spc="0" baseline="0">
                <a:solidFill>
                  <a:schemeClr val="tx1"/>
                </a:solidFill>
                <a:latin typeface="Arial" panose="020B0604020202020204" pitchFamily="34" charset="0"/>
                <a:ea typeface="+mn-ea"/>
                <a:cs typeface="Arial" panose="020B0604020202020204" pitchFamily="34" charset="0"/>
              </a:defRPr>
            </a:pPr>
            <a:r>
              <a:rPr lang="de-CH"/>
              <a:t>COP Fit Curves VHTHPs</a:t>
            </a:r>
          </a:p>
        </c:rich>
      </c:tx>
      <c:layout>
        <c:manualLayout>
          <c:xMode val="edge"/>
          <c:yMode val="edge"/>
          <c:x val="0.18211069583315051"/>
          <c:y val="2.079394956102799E-2"/>
        </c:manualLayout>
      </c:layout>
      <c:overlay val="0"/>
      <c:spPr>
        <a:noFill/>
        <a:ln>
          <a:noFill/>
        </a:ln>
        <a:effectLst/>
      </c:spPr>
      <c:txPr>
        <a:bodyPr rot="0" spcFirstLastPara="1" vertOverflow="ellipsis" vert="horz" wrap="square" anchor="ctr" anchorCtr="1"/>
        <a:lstStyle/>
        <a:p>
          <a:pPr>
            <a:defRPr sz="336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9.5967961182149383E-2"/>
          <c:y val="0.11396394214533799"/>
          <c:w val="0.47349215081698209"/>
          <c:h val="0.72503030745437169"/>
        </c:manualLayout>
      </c:layout>
      <c:scatterChart>
        <c:scatterStyle val="lineMarker"/>
        <c:varyColors val="0"/>
        <c:ser>
          <c:idx val="2"/>
          <c:order val="0"/>
          <c:tx>
            <c:strRef>
              <c:f>[3]Tabelle1!$F$3:$F$5</c:f>
              <c:strCache>
                <c:ptCount val="1"/>
                <c:pt idx="0">
                  <c:v>Schlosser et al. (2020) Water/Water-VHTHPs COP = a x (dT_Lift + 2 x b)^c x (T_h_out + b)^d</c:v>
                </c:pt>
              </c:strCache>
            </c:strRef>
          </c:tx>
          <c:spPr>
            <a:ln w="25400" cap="rnd">
              <a:noFill/>
              <a:round/>
            </a:ln>
            <a:effectLst/>
          </c:spPr>
          <c:marker>
            <c:symbol val="circle"/>
            <c:size val="12"/>
            <c:spPr>
              <a:solidFill>
                <a:schemeClr val="accent3"/>
              </a:solidFill>
              <a:ln w="9525">
                <a:solidFill>
                  <a:schemeClr val="accent3"/>
                </a:solidFill>
              </a:ln>
              <a:effectLst/>
            </c:spPr>
          </c:marker>
          <c:trendline>
            <c:spPr>
              <a:ln w="25400" cap="rnd">
                <a:solidFill>
                  <a:schemeClr val="accent3"/>
                </a:solidFill>
                <a:prstDash val="sysDash"/>
              </a:ln>
              <a:effectLst/>
            </c:spPr>
            <c:trendlineType val="power"/>
            <c:dispRSqr val="1"/>
            <c:dispEq val="1"/>
            <c:trendlineLbl>
              <c:layout>
                <c:manualLayout>
                  <c:x val="-0.11511894742429649"/>
                  <c:y val="-0.49605931460467961"/>
                </c:manualLayout>
              </c:layout>
              <c:tx>
                <c:rich>
                  <a:bodyPr rot="0" spcFirstLastPara="1" vertOverflow="ellipsis" vert="horz" wrap="square" anchor="ctr" anchorCtr="1"/>
                  <a:lstStyle/>
                  <a:p>
                    <a:pPr>
                      <a:defRPr sz="2800" b="0" i="0" u="none" strike="noStrike" kern="1200" baseline="0">
                        <a:solidFill>
                          <a:schemeClr val="accent3"/>
                        </a:solidFill>
                        <a:latin typeface="Arial" panose="020B0604020202020204" pitchFamily="34" charset="0"/>
                        <a:ea typeface="+mn-ea"/>
                        <a:cs typeface="Arial" panose="020B0604020202020204" pitchFamily="34" charset="0"/>
                      </a:defRPr>
                    </a:pPr>
                    <a:r>
                      <a:rPr lang="en-US" baseline="0">
                        <a:solidFill>
                          <a:schemeClr val="accent3"/>
                        </a:solidFill>
                      </a:rPr>
                      <a:t>y = 110.38x</a:t>
                    </a:r>
                    <a:r>
                      <a:rPr lang="en-US" baseline="30000">
                        <a:solidFill>
                          <a:schemeClr val="accent3"/>
                        </a:solidFill>
                      </a:rPr>
                      <a:t>-0.888</a:t>
                    </a:r>
                    <a:endParaRPr lang="en-US">
                      <a:solidFill>
                        <a:schemeClr val="accent3"/>
                      </a:solidFill>
                    </a:endParaRPr>
                  </a:p>
                </c:rich>
              </c:tx>
              <c:numFmt formatCode="General" sourceLinked="0"/>
              <c:spPr>
                <a:noFill/>
                <a:ln>
                  <a:noFill/>
                </a:ln>
                <a:effectLst/>
              </c:spPr>
              <c:txPr>
                <a:bodyPr rot="0" spcFirstLastPara="1" vertOverflow="ellipsis" vert="horz" wrap="square" anchor="ctr" anchorCtr="1"/>
                <a:lstStyle/>
                <a:p>
                  <a:pPr>
                    <a:defRPr sz="2800" b="0" i="0" u="none" strike="noStrike" kern="1200" baseline="0">
                      <a:solidFill>
                        <a:schemeClr val="accent3"/>
                      </a:solidFill>
                      <a:latin typeface="Arial" panose="020B0604020202020204" pitchFamily="34" charset="0"/>
                      <a:ea typeface="+mn-ea"/>
                      <a:cs typeface="Arial" panose="020B0604020202020204" pitchFamily="34" charset="0"/>
                    </a:defRPr>
                  </a:pPr>
                  <a:endParaRPr lang="de-DE"/>
                </a:p>
              </c:txPr>
            </c:trendlineLbl>
          </c:trendline>
          <c:xVal>
            <c:numRef>
              <c:f>[3]Tabelle1!$B$13:$B$31</c:f>
              <c:numCache>
                <c:formatCode>General</c:formatCode>
                <c:ptCount val="1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numCache>
            </c:numRef>
          </c:xVal>
          <c:yVal>
            <c:numRef>
              <c:f>[3]Tabelle1!$F$13:$F$31</c:f>
              <c:numCache>
                <c:formatCode>General</c:formatCode>
                <c:ptCount val="19"/>
                <c:pt idx="0">
                  <c:v>14.249481788379583</c:v>
                </c:pt>
                <c:pt idx="1">
                  <c:v>9.955059554034527</c:v>
                </c:pt>
                <c:pt idx="2">
                  <c:v>7.7143254506790475</c:v>
                </c:pt>
                <c:pt idx="3">
                  <c:v>6.3284529641188927</c:v>
                </c:pt>
                <c:pt idx="4">
                  <c:v>5.3824382372162853</c:v>
                </c:pt>
                <c:pt idx="5">
                  <c:v>4.6934897826052477</c:v>
                </c:pt>
                <c:pt idx="6">
                  <c:v>4.1682174953517466</c:v>
                </c:pt>
                <c:pt idx="7">
                  <c:v>3.7538017741007774</c:v>
                </c:pt>
                <c:pt idx="8">
                  <c:v>3.4180625538746612</c:v>
                </c:pt>
                <c:pt idx="9">
                  <c:v>3.1402460471639095</c:v>
                </c:pt>
                <c:pt idx="10">
                  <c:v>2.9063510464988642</c:v>
                </c:pt>
                <c:pt idx="11">
                  <c:v>2.706580185327375</c:v>
                </c:pt>
                <c:pt idx="12">
                  <c:v>2.5338669400434366</c:v>
                </c:pt>
                <c:pt idx="13">
                  <c:v>2.3829827524264497</c:v>
                </c:pt>
                <c:pt idx="14">
                  <c:v>2.2499737550791941</c:v>
                </c:pt>
                <c:pt idx="15">
                  <c:v>2.1317931624341195</c:v>
                </c:pt>
                <c:pt idx="16">
                  <c:v>2.026054245970081</c:v>
                </c:pt>
                <c:pt idx="17">
                  <c:v>1.9308600641840648</c:v>
                </c:pt>
                <c:pt idx="18">
                  <c:v>1.8446834470312996</c:v>
                </c:pt>
              </c:numCache>
            </c:numRef>
          </c:yVal>
          <c:smooth val="0"/>
          <c:extLst>
            <c:ext xmlns:c16="http://schemas.microsoft.com/office/drawing/2014/chart" uri="{C3380CC4-5D6E-409C-BE32-E72D297353CC}">
              <c16:uniqueId val="{00000001-70A2-4EE3-A2A9-DF7C183B98B9}"/>
            </c:ext>
          </c:extLst>
        </c:ser>
        <c:ser>
          <c:idx val="0"/>
          <c:order val="1"/>
          <c:tx>
            <c:strRef>
              <c:f>[3]Tabelle1!$C$3:$C$5</c:f>
              <c:strCache>
                <c:ptCount val="1"/>
                <c:pt idx="0">
                  <c:v>Arpagaus et al. (2018) Several manufacturers of IHPs COP = A x dT_Lift^B</c:v>
                </c:pt>
              </c:strCache>
            </c:strRef>
          </c:tx>
          <c:spPr>
            <a:ln w="19050" cap="rnd">
              <a:noFill/>
              <a:round/>
            </a:ln>
            <a:effectLst/>
          </c:spPr>
          <c:marker>
            <c:symbol val="circle"/>
            <c:size val="12"/>
            <c:spPr>
              <a:solidFill>
                <a:schemeClr val="accent1"/>
              </a:solidFill>
              <a:ln w="9525">
                <a:solidFill>
                  <a:schemeClr val="accent1"/>
                </a:solidFill>
              </a:ln>
              <a:effectLst/>
            </c:spPr>
          </c:marker>
          <c:trendline>
            <c:spPr>
              <a:ln w="25400" cap="rnd">
                <a:solidFill>
                  <a:schemeClr val="accent1"/>
                </a:solidFill>
                <a:prstDash val="sysDash"/>
              </a:ln>
              <a:effectLst/>
            </c:spPr>
            <c:trendlineType val="power"/>
            <c:dispRSqr val="1"/>
            <c:dispEq val="1"/>
            <c:trendlineLbl>
              <c:layout>
                <c:manualLayout>
                  <c:x val="-6.5727683684812716E-2"/>
                  <c:y val="-0.30336434915551869"/>
                </c:manualLayout>
              </c:layout>
              <c:tx>
                <c:rich>
                  <a:bodyPr rot="0" spcFirstLastPara="1" vertOverflow="ellipsis" vert="horz" wrap="square" anchor="ctr" anchorCtr="1"/>
                  <a:lstStyle/>
                  <a:p>
                    <a:pPr>
                      <a:defRPr sz="2800" b="0" i="0" u="none" strike="noStrike" kern="1200" baseline="0">
                        <a:solidFill>
                          <a:schemeClr val="accent1"/>
                        </a:solidFill>
                        <a:latin typeface="Arial" panose="020B0604020202020204" pitchFamily="34" charset="0"/>
                        <a:ea typeface="+mn-ea"/>
                        <a:cs typeface="Arial" panose="020B0604020202020204" pitchFamily="34" charset="0"/>
                      </a:defRPr>
                    </a:pPr>
                    <a:r>
                      <a:rPr lang="en-US" baseline="0">
                        <a:solidFill>
                          <a:schemeClr val="accent1"/>
                        </a:solidFill>
                      </a:rPr>
                      <a:t>y = 68.455x</a:t>
                    </a:r>
                    <a:r>
                      <a:rPr lang="en-US" baseline="30000">
                        <a:solidFill>
                          <a:schemeClr val="accent1"/>
                        </a:solidFill>
                      </a:rPr>
                      <a:t>-0.76</a:t>
                    </a:r>
                    <a:endParaRPr lang="en-US">
                      <a:solidFill>
                        <a:schemeClr val="accent1"/>
                      </a:solidFill>
                    </a:endParaRPr>
                  </a:p>
                </c:rich>
              </c:tx>
              <c:numFmt formatCode="General" sourceLinked="0"/>
              <c:spPr>
                <a:noFill/>
                <a:ln>
                  <a:noFill/>
                </a:ln>
                <a:effectLst/>
              </c:spPr>
              <c:txPr>
                <a:bodyPr rot="0" spcFirstLastPara="1" vertOverflow="ellipsis" vert="horz" wrap="square" anchor="ctr" anchorCtr="1"/>
                <a:lstStyle/>
                <a:p>
                  <a:pPr>
                    <a:defRPr sz="2800" b="0" i="0" u="none" strike="noStrike" kern="1200" baseline="0">
                      <a:solidFill>
                        <a:schemeClr val="accent1"/>
                      </a:solidFill>
                      <a:latin typeface="Arial" panose="020B0604020202020204" pitchFamily="34" charset="0"/>
                      <a:ea typeface="+mn-ea"/>
                      <a:cs typeface="Arial" panose="020B0604020202020204" pitchFamily="34" charset="0"/>
                    </a:defRPr>
                  </a:pPr>
                  <a:endParaRPr lang="de-DE"/>
                </a:p>
              </c:txPr>
            </c:trendlineLbl>
          </c:trendline>
          <c:xVal>
            <c:numRef>
              <c:f>[3]Tabelle1!$B$13:$B$31</c:f>
              <c:numCache>
                <c:formatCode>General</c:formatCode>
                <c:ptCount val="1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numCache>
            </c:numRef>
          </c:xVal>
          <c:yVal>
            <c:numRef>
              <c:f>[3]Tabelle1!$C$13:$C$31</c:f>
              <c:numCache>
                <c:formatCode>General</c:formatCode>
                <c:ptCount val="19"/>
                <c:pt idx="0">
                  <c:v>11.896115573203845</c:v>
                </c:pt>
                <c:pt idx="1">
                  <c:v>8.7412958236066274</c:v>
                </c:pt>
                <c:pt idx="2">
                  <c:v>7.0246125957356513</c:v>
                </c:pt>
                <c:pt idx="3">
                  <c:v>5.928854168911708</c:v>
                </c:pt>
                <c:pt idx="4">
                  <c:v>5.1617031095320156</c:v>
                </c:pt>
                <c:pt idx="5">
                  <c:v>4.5910652068340152</c:v>
                </c:pt>
                <c:pt idx="6">
                  <c:v>4.1480079624746224</c:v>
                </c:pt>
                <c:pt idx="7">
                  <c:v>3.7928325054005763</c:v>
                </c:pt>
                <c:pt idx="8">
                  <c:v>3.5009666320853023</c:v>
                </c:pt>
                <c:pt idx="9">
                  <c:v>3.2563384011895073</c:v>
                </c:pt>
                <c:pt idx="10">
                  <c:v>3.0479667464176496</c:v>
                </c:pt>
                <c:pt idx="11">
                  <c:v>2.8680784329213895</c:v>
                </c:pt>
                <c:pt idx="12">
                  <c:v>2.7110071587077096</c:v>
                </c:pt>
                <c:pt idx="13">
                  <c:v>2.5725191396565648</c:v>
                </c:pt>
                <c:pt idx="14">
                  <c:v>2.4493834816168953</c:v>
                </c:pt>
                <c:pt idx="15">
                  <c:v>2.3390892405192409</c:v>
                </c:pt>
                <c:pt idx="16">
                  <c:v>2.2396536774547293</c:v>
                </c:pt>
                <c:pt idx="17">
                  <c:v>2.1494890386851755</c:v>
                </c:pt>
                <c:pt idx="18">
                  <c:v>2.0673079502011991</c:v>
                </c:pt>
              </c:numCache>
            </c:numRef>
          </c:yVal>
          <c:smooth val="0"/>
          <c:extLst>
            <c:ext xmlns:c16="http://schemas.microsoft.com/office/drawing/2014/chart" uri="{C3380CC4-5D6E-409C-BE32-E72D297353CC}">
              <c16:uniqueId val="{00000003-70A2-4EE3-A2A9-DF7C183B98B9}"/>
            </c:ext>
          </c:extLst>
        </c:ser>
        <c:ser>
          <c:idx val="1"/>
          <c:order val="2"/>
          <c:tx>
            <c:strRef>
              <c:f>[3]Tabelle1!$E$3:$E$5</c:f>
              <c:strCache>
                <c:ptCount val="1"/>
                <c:pt idx="0">
                  <c:v>Schlosser et al. (2020) Water/steam-VHTHPs COP = a x (dT_Lift + 2 x b)^c x (T_h_out + b)^d</c:v>
                </c:pt>
              </c:strCache>
            </c:strRef>
          </c:tx>
          <c:spPr>
            <a:ln w="25400" cap="rnd">
              <a:noFill/>
              <a:round/>
            </a:ln>
            <a:effectLst/>
          </c:spPr>
          <c:marker>
            <c:symbol val="circle"/>
            <c:size val="12"/>
            <c:spPr>
              <a:solidFill>
                <a:schemeClr val="accent2"/>
              </a:solidFill>
              <a:ln w="9525">
                <a:solidFill>
                  <a:schemeClr val="accent2"/>
                </a:solidFill>
              </a:ln>
              <a:effectLst/>
            </c:spPr>
          </c:marker>
          <c:trendline>
            <c:spPr>
              <a:ln w="25400" cap="rnd">
                <a:solidFill>
                  <a:schemeClr val="accent2"/>
                </a:solidFill>
                <a:prstDash val="sysDash"/>
              </a:ln>
              <a:effectLst/>
            </c:spPr>
            <c:trendlineType val="power"/>
            <c:dispRSqr val="1"/>
            <c:dispEq val="1"/>
            <c:trendlineLbl>
              <c:layout>
                <c:manualLayout>
                  <c:x val="-0.27225525592880795"/>
                  <c:y val="-9.6635787287719904E-2"/>
                </c:manualLayout>
              </c:layout>
              <c:tx>
                <c:rich>
                  <a:bodyPr rot="0" spcFirstLastPara="1" vertOverflow="ellipsis" vert="horz" wrap="square" anchor="ctr" anchorCtr="1"/>
                  <a:lstStyle/>
                  <a:p>
                    <a:pPr>
                      <a:defRPr sz="2800" b="0" i="0" u="none" strike="noStrike" kern="1200" baseline="0">
                        <a:solidFill>
                          <a:schemeClr val="accent2"/>
                        </a:solidFill>
                        <a:latin typeface="Arial" panose="020B0604020202020204" pitchFamily="34" charset="0"/>
                        <a:ea typeface="+mn-ea"/>
                        <a:cs typeface="Arial" panose="020B0604020202020204" pitchFamily="34" charset="0"/>
                      </a:defRPr>
                    </a:pPr>
                    <a:r>
                      <a:rPr lang="en-US" baseline="0">
                        <a:solidFill>
                          <a:schemeClr val="accent2"/>
                        </a:solidFill>
                      </a:rPr>
                      <a:t>y = 23.603x</a:t>
                    </a:r>
                    <a:r>
                      <a:rPr lang="en-US" baseline="30000">
                        <a:solidFill>
                          <a:schemeClr val="accent2"/>
                        </a:solidFill>
                      </a:rPr>
                      <a:t>-0.52</a:t>
                    </a:r>
                    <a:endParaRPr lang="en-US">
                      <a:solidFill>
                        <a:schemeClr val="accent2"/>
                      </a:solidFill>
                    </a:endParaRPr>
                  </a:p>
                </c:rich>
              </c:tx>
              <c:numFmt formatCode="General" sourceLinked="0"/>
              <c:spPr>
                <a:noFill/>
                <a:ln>
                  <a:noFill/>
                </a:ln>
                <a:effectLst/>
              </c:spPr>
              <c:txPr>
                <a:bodyPr rot="0" spcFirstLastPara="1" vertOverflow="ellipsis" vert="horz" wrap="square" anchor="ctr" anchorCtr="1"/>
                <a:lstStyle/>
                <a:p>
                  <a:pPr>
                    <a:defRPr sz="2800" b="0" i="0" u="none" strike="noStrike" kern="1200" baseline="0">
                      <a:solidFill>
                        <a:schemeClr val="accent2"/>
                      </a:solidFill>
                      <a:latin typeface="Arial" panose="020B0604020202020204" pitchFamily="34" charset="0"/>
                      <a:ea typeface="+mn-ea"/>
                      <a:cs typeface="Arial" panose="020B0604020202020204" pitchFamily="34" charset="0"/>
                    </a:defRPr>
                  </a:pPr>
                  <a:endParaRPr lang="de-DE"/>
                </a:p>
              </c:txPr>
            </c:trendlineLbl>
          </c:trendline>
          <c:xVal>
            <c:numRef>
              <c:f>[3]Tabelle1!$B$13:$B$31</c:f>
              <c:numCache>
                <c:formatCode>General</c:formatCode>
                <c:ptCount val="1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numCache>
            </c:numRef>
          </c:xVal>
          <c:yVal>
            <c:numRef>
              <c:f>[3]Tabelle1!$E$13:$E$31</c:f>
              <c:numCache>
                <c:formatCode>General</c:formatCode>
                <c:ptCount val="19"/>
                <c:pt idx="0">
                  <c:v>7.1225251025518412</c:v>
                </c:pt>
                <c:pt idx="1">
                  <c:v>5.7737512104091087</c:v>
                </c:pt>
                <c:pt idx="2">
                  <c:v>4.9731986870068363</c:v>
                </c:pt>
                <c:pt idx="3">
                  <c:v>4.4289449480732506</c:v>
                </c:pt>
                <c:pt idx="4">
                  <c:v>4.0285115049820153</c:v>
                </c:pt>
                <c:pt idx="5">
                  <c:v>3.7181880952371706</c:v>
                </c:pt>
                <c:pt idx="6">
                  <c:v>3.4686798313791032</c:v>
                </c:pt>
                <c:pt idx="7">
                  <c:v>3.2624797241489216</c:v>
                </c:pt>
                <c:pt idx="8">
                  <c:v>3.0884007182112909</c:v>
                </c:pt>
                <c:pt idx="9">
                  <c:v>2.9389178222150996</c:v>
                </c:pt>
                <c:pt idx="10">
                  <c:v>2.8087594264119473</c:v>
                </c:pt>
                <c:pt idx="11">
                  <c:v>2.6941086067126534</c:v>
                </c:pt>
                <c:pt idx="12">
                  <c:v>2.5921250688496658</c:v>
                </c:pt>
                <c:pt idx="13">
                  <c:v>2.5006459764814912</c:v>
                </c:pt>
                <c:pt idx="14">
                  <c:v>2.4179916096218852</c:v>
                </c:pt>
                <c:pt idx="15">
                  <c:v>2.3428350512073801</c:v>
                </c:pt>
                <c:pt idx="16">
                  <c:v>2.2741123864547323</c:v>
                </c:pt>
                <c:pt idx="17">
                  <c:v>2.210959330363349</c:v>
                </c:pt>
                <c:pt idx="18">
                  <c:v>2.1526655609418461</c:v>
                </c:pt>
              </c:numCache>
            </c:numRef>
          </c:yVal>
          <c:smooth val="0"/>
          <c:extLst>
            <c:ext xmlns:c16="http://schemas.microsoft.com/office/drawing/2014/chart" uri="{C3380CC4-5D6E-409C-BE32-E72D297353CC}">
              <c16:uniqueId val="{00000005-70A2-4EE3-A2A9-DF7C183B98B9}"/>
            </c:ext>
          </c:extLst>
        </c:ser>
        <c:ser>
          <c:idx val="3"/>
          <c:order val="3"/>
          <c:tx>
            <c:strRef>
              <c:f>[3]Tabelle1!$N$5</c:f>
              <c:strCache>
                <c:ptCount val="1"/>
                <c:pt idx="0">
                  <c:v>Kobelco SGH120</c:v>
                </c:pt>
              </c:strCache>
            </c:strRef>
          </c:tx>
          <c:spPr>
            <a:ln w="25400" cap="rnd">
              <a:noFill/>
              <a:round/>
            </a:ln>
            <a:effectLst/>
          </c:spPr>
          <c:marker>
            <c:symbol val="square"/>
            <c:size val="12"/>
            <c:spPr>
              <a:solidFill>
                <a:schemeClr val="bg1"/>
              </a:solidFill>
              <a:ln w="25400">
                <a:solidFill>
                  <a:schemeClr val="tx1"/>
                </a:solidFill>
              </a:ln>
              <a:effectLst/>
            </c:spPr>
          </c:marker>
          <c:trendline>
            <c:spPr>
              <a:ln w="25400" cap="rnd">
                <a:solidFill>
                  <a:schemeClr val="tx1"/>
                </a:solidFill>
                <a:prstDash val="sysDash"/>
              </a:ln>
              <a:effectLst/>
            </c:spPr>
            <c:trendlineType val="power"/>
            <c:dispRSqr val="1"/>
            <c:dispEq val="1"/>
            <c:trendlineLbl>
              <c:layout>
                <c:manualLayout>
                  <c:x val="-2.080173214690309E-2"/>
                  <c:y val="6.9295427582410007E-3"/>
                </c:manualLayout>
              </c:layout>
              <c:tx>
                <c:rich>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r>
                      <a:rPr lang="en-US" baseline="0"/>
                      <a:t>y = 140.4x</a:t>
                    </a:r>
                    <a:r>
                      <a:rPr lang="en-US" baseline="30000"/>
                      <a:t>-0.972</a:t>
                    </a:r>
                    <a:endParaRPr lang="en-US"/>
                  </a:p>
                </c:rich>
              </c:tx>
              <c:numFmt formatCode="General" sourceLinked="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rendlineLbl>
          </c:trendline>
          <c:xVal>
            <c:numRef>
              <c:f>[3]Tabelle1!$N$7:$N$17</c:f>
              <c:numCache>
                <c:formatCode>General</c:formatCode>
                <c:ptCount val="11"/>
                <c:pt idx="0">
                  <c:v>38.235294117647001</c:v>
                </c:pt>
                <c:pt idx="1">
                  <c:v>39.2156862745098</c:v>
                </c:pt>
                <c:pt idx="2">
                  <c:v>41.421568627450903</c:v>
                </c:pt>
                <c:pt idx="3">
                  <c:v>43.137254901960802</c:v>
                </c:pt>
                <c:pt idx="4">
                  <c:v>48.039215686274503</c:v>
                </c:pt>
                <c:pt idx="5">
                  <c:v>49.264705882352899</c:v>
                </c:pt>
                <c:pt idx="6">
                  <c:v>50.245098039215598</c:v>
                </c:pt>
                <c:pt idx="7">
                  <c:v>57.843137254901897</c:v>
                </c:pt>
                <c:pt idx="8">
                  <c:v>58.823529411764703</c:v>
                </c:pt>
                <c:pt idx="9">
                  <c:v>59.803921568627402</c:v>
                </c:pt>
                <c:pt idx="10">
                  <c:v>69.117647058823493</c:v>
                </c:pt>
              </c:numCache>
            </c:numRef>
          </c:xVal>
          <c:yVal>
            <c:numRef>
              <c:f>[3]Tabelle1!$O$7:$O$17</c:f>
              <c:numCache>
                <c:formatCode>General</c:formatCode>
                <c:ptCount val="11"/>
                <c:pt idx="0">
                  <c:v>3.9983623246138098</c:v>
                </c:pt>
                <c:pt idx="1">
                  <c:v>3.9194293217663301</c:v>
                </c:pt>
                <c:pt idx="2">
                  <c:v>3.7615817583617299</c:v>
                </c:pt>
                <c:pt idx="3">
                  <c:v>3.5924106286607902</c:v>
                </c:pt>
                <c:pt idx="4">
                  <c:v>3.2767523864323702</c:v>
                </c:pt>
                <c:pt idx="5">
                  <c:v>3.2091245075908401</c:v>
                </c:pt>
                <c:pt idx="6">
                  <c:v>3.1189048230277798</c:v>
                </c:pt>
                <c:pt idx="7">
                  <c:v>2.7808760825624401</c:v>
                </c:pt>
                <c:pt idx="8">
                  <c:v>2.7358031248616799</c:v>
                </c:pt>
                <c:pt idx="9">
                  <c:v>2.6568701220141899</c:v>
                </c:pt>
                <c:pt idx="10">
                  <c:v>2.1722436152790601</c:v>
                </c:pt>
              </c:numCache>
            </c:numRef>
          </c:yVal>
          <c:smooth val="0"/>
          <c:extLst>
            <c:ext xmlns:c16="http://schemas.microsoft.com/office/drawing/2014/chart" uri="{C3380CC4-5D6E-409C-BE32-E72D297353CC}">
              <c16:uniqueId val="{00000007-70A2-4EE3-A2A9-DF7C183B98B9}"/>
            </c:ext>
          </c:extLst>
        </c:ser>
        <c:ser>
          <c:idx val="4"/>
          <c:order val="4"/>
          <c:tx>
            <c:strRef>
              <c:f>[3]Tabelle1!$P$5</c:f>
              <c:strCache>
                <c:ptCount val="1"/>
                <c:pt idx="0">
                  <c:v>Kobelco SGH165</c:v>
                </c:pt>
              </c:strCache>
            </c:strRef>
          </c:tx>
          <c:spPr>
            <a:ln w="25400" cap="rnd">
              <a:noFill/>
              <a:round/>
            </a:ln>
            <a:effectLst/>
          </c:spPr>
          <c:marker>
            <c:symbol val="square"/>
            <c:size val="12"/>
            <c:spPr>
              <a:solidFill>
                <a:schemeClr val="tx1"/>
              </a:solidFill>
              <a:ln w="25400">
                <a:solidFill>
                  <a:schemeClr val="tx1"/>
                </a:solidFill>
              </a:ln>
              <a:effectLst/>
            </c:spPr>
          </c:marker>
          <c:trendline>
            <c:spPr>
              <a:ln w="25400" cap="rnd">
                <a:solidFill>
                  <a:schemeClr val="tx1"/>
                </a:solidFill>
                <a:prstDash val="sysDash"/>
              </a:ln>
              <a:effectLst/>
            </c:spPr>
            <c:trendlineType val="power"/>
            <c:dispRSqr val="1"/>
            <c:dispEq val="1"/>
            <c:trendlineLbl>
              <c:layout>
                <c:manualLayout>
                  <c:x val="-0.10978073970813622"/>
                  <c:y val="-0.21482919694285274"/>
                </c:manualLayout>
              </c:layout>
              <c:tx>
                <c:rich>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r>
                      <a:rPr lang="en-US" baseline="0"/>
                      <a:t>y = 126.24x</a:t>
                    </a:r>
                    <a:r>
                      <a:rPr lang="en-US" baseline="30000"/>
                      <a:t>-0.897</a:t>
                    </a:r>
                    <a:endParaRPr lang="en-US"/>
                  </a:p>
                </c:rich>
              </c:tx>
              <c:numFmt formatCode="General" sourceLinked="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rendlineLbl>
          </c:trendline>
          <c:xVal>
            <c:numRef>
              <c:f>[3]Tabelle1!$P$7:$P$22</c:f>
              <c:numCache>
                <c:formatCode>General</c:formatCode>
                <c:ptCount val="16"/>
                <c:pt idx="0">
                  <c:v>64.705882352941103</c:v>
                </c:pt>
                <c:pt idx="1">
                  <c:v>74.019607843137194</c:v>
                </c:pt>
                <c:pt idx="2">
                  <c:v>74.509803921568604</c:v>
                </c:pt>
                <c:pt idx="3">
                  <c:v>81.862745098039198</c:v>
                </c:pt>
                <c:pt idx="4">
                  <c:v>83.823529411764696</c:v>
                </c:pt>
                <c:pt idx="5">
                  <c:v>83.823529411764696</c:v>
                </c:pt>
                <c:pt idx="6">
                  <c:v>92.156862745097996</c:v>
                </c:pt>
                <c:pt idx="7">
                  <c:v>95.0980392156862</c:v>
                </c:pt>
                <c:pt idx="8">
                  <c:v>95.343137254901904</c:v>
                </c:pt>
                <c:pt idx="9">
                  <c:v>102.941176470588</c:v>
                </c:pt>
                <c:pt idx="10">
                  <c:v>105.14705882352899</c:v>
                </c:pt>
                <c:pt idx="11">
                  <c:v>105.88235294117599</c:v>
                </c:pt>
                <c:pt idx="12">
                  <c:v>112.00980392156799</c:v>
                </c:pt>
                <c:pt idx="13">
                  <c:v>114.705882352941</c:v>
                </c:pt>
                <c:pt idx="14">
                  <c:v>115.686274509803</c:v>
                </c:pt>
                <c:pt idx="15">
                  <c:v>125.24509803921499</c:v>
                </c:pt>
              </c:numCache>
            </c:numRef>
          </c:xVal>
          <c:yVal>
            <c:numRef>
              <c:f>[3]Tabelle1!$Q$7:$Q$22</c:f>
              <c:numCache>
                <c:formatCode>General</c:formatCode>
                <c:ptCount val="16"/>
                <c:pt idx="0">
                  <c:v>2.8378258752711001</c:v>
                </c:pt>
                <c:pt idx="1">
                  <c:v>2.66922645657209</c:v>
                </c:pt>
                <c:pt idx="2">
                  <c:v>2.5112497971347998</c:v>
                </c:pt>
                <c:pt idx="3">
                  <c:v>2.5795231561398002</c:v>
                </c:pt>
                <c:pt idx="4">
                  <c:v>2.4216571504448199</c:v>
                </c:pt>
                <c:pt idx="5">
                  <c:v>2.24107024299561</c:v>
                </c:pt>
                <c:pt idx="6">
                  <c:v>2.2529839625842798</c:v>
                </c:pt>
                <c:pt idx="7">
                  <c:v>2.28706531521562</c:v>
                </c:pt>
                <c:pt idx="8">
                  <c:v>2.12907021348795</c:v>
                </c:pt>
                <c:pt idx="9">
                  <c:v>2.01677510733413</c:v>
                </c:pt>
                <c:pt idx="10">
                  <c:v>1.99436772451644</c:v>
                </c:pt>
                <c:pt idx="11">
                  <c:v>2.0734298233966202</c:v>
                </c:pt>
                <c:pt idx="12">
                  <c:v>1.6449969754643701</c:v>
                </c:pt>
                <c:pt idx="13">
                  <c:v>1.80321338467667</c:v>
                </c:pt>
                <c:pt idx="14">
                  <c:v>1.8258605172693601</c:v>
                </c:pt>
                <c:pt idx="15">
                  <c:v>1.49926599684268</c:v>
                </c:pt>
              </c:numCache>
            </c:numRef>
          </c:yVal>
          <c:smooth val="0"/>
          <c:extLst>
            <c:ext xmlns:c16="http://schemas.microsoft.com/office/drawing/2014/chart" uri="{C3380CC4-5D6E-409C-BE32-E72D297353CC}">
              <c16:uniqueId val="{00000009-70A2-4EE3-A2A9-DF7C183B98B9}"/>
            </c:ext>
          </c:extLst>
        </c:ser>
        <c:dLbls>
          <c:showLegendKey val="0"/>
          <c:showVal val="0"/>
          <c:showCatName val="0"/>
          <c:showSerName val="0"/>
          <c:showPercent val="0"/>
          <c:showBubbleSize val="0"/>
        </c:dLbls>
        <c:axId val="192320783"/>
        <c:axId val="193887503"/>
      </c:scatterChart>
      <c:valAx>
        <c:axId val="192320783"/>
        <c:scaling>
          <c:orientation val="minMax"/>
          <c:max val="1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r>
                  <a:rPr lang="de-CH"/>
                  <a:t>dT_Lift in K</a:t>
                </a:r>
              </a:p>
            </c:rich>
          </c:tx>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3887503"/>
        <c:crosses val="autoZero"/>
        <c:crossBetween val="midCat"/>
        <c:majorUnit val="10"/>
      </c:valAx>
      <c:valAx>
        <c:axId val="193887503"/>
        <c:scaling>
          <c:orientation val="minMax"/>
          <c:max val="7"/>
          <c:min val="1.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r>
                  <a:rPr lang="de-CH"/>
                  <a:t>COP [-]</a:t>
                </a:r>
              </a:p>
              <a:p>
                <a:pPr>
                  <a:defRPr/>
                </a:pPr>
                <a:endParaRPr lang="de-CH"/>
              </a:p>
            </c:rich>
          </c:tx>
          <c:overlay val="0"/>
          <c:spPr>
            <a:noFill/>
            <a:ln>
              <a:noFill/>
            </a:ln>
            <a:effectLst/>
          </c:spPr>
          <c:txPr>
            <a:bodyPr rot="-54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2320783"/>
        <c:crosses val="autoZero"/>
        <c:crossBetween val="midCat"/>
        <c:majorUnit val="1"/>
        <c:minorUnit val="0.1"/>
      </c:valAx>
      <c:spPr>
        <a:noFill/>
        <a:ln w="12700">
          <a:solidFill>
            <a:schemeClr val="tx1"/>
          </a:solidFill>
        </a:ln>
        <a:effectLst/>
      </c:spPr>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59361711365214453"/>
          <c:y val="0.13642563741164448"/>
          <c:w val="0.39065137831396485"/>
          <c:h val="0.8427804130273274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800">
          <a:solidFill>
            <a:schemeClr val="tx1"/>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6</xdr:col>
      <xdr:colOff>136393</xdr:colOff>
      <xdr:row>39</xdr:row>
      <xdr:rowOff>54750</xdr:rowOff>
    </xdr:from>
    <xdr:to>
      <xdr:col>7</xdr:col>
      <xdr:colOff>745672</xdr:colOff>
      <xdr:row>40</xdr:row>
      <xdr:rowOff>194904</xdr:rowOff>
    </xdr:to>
    <xdr:pic>
      <xdr:nvPicPr>
        <xdr:cNvPr id="6" name="Grafik 5">
          <a:extLst>
            <a:ext uri="{FF2B5EF4-FFF2-40B4-BE49-F238E27FC236}">
              <a16:creationId xmlns:a16="http://schemas.microsoft.com/office/drawing/2014/main" id="{37F43059-3EAF-4B12-9660-61D7B3C34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63464" y="9076286"/>
          <a:ext cx="1292358" cy="371475"/>
        </a:xfrm>
        <a:prstGeom prst="rect">
          <a:avLst/>
        </a:prstGeom>
      </xdr:spPr>
    </xdr:pic>
    <xdr:clientData/>
  </xdr:twoCellAnchor>
  <xdr:twoCellAnchor editAs="oneCell">
    <xdr:from>
      <xdr:col>6</xdr:col>
      <xdr:colOff>657225</xdr:colOff>
      <xdr:row>0</xdr:row>
      <xdr:rowOff>53067</xdr:rowOff>
    </xdr:from>
    <xdr:to>
      <xdr:col>7</xdr:col>
      <xdr:colOff>721177</xdr:colOff>
      <xdr:row>1</xdr:row>
      <xdr:rowOff>204011</xdr:rowOff>
    </xdr:to>
    <xdr:pic>
      <xdr:nvPicPr>
        <xdr:cNvPr id="8" name="Grafik 7">
          <a:extLst>
            <a:ext uri="{FF2B5EF4-FFF2-40B4-BE49-F238E27FC236}">
              <a16:creationId xmlns:a16="http://schemas.microsoft.com/office/drawing/2014/main" id="{10C562C9-1B0D-4F09-AC38-65747F3012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3475" y="53067"/>
          <a:ext cx="740227" cy="379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180975</xdr:colOff>
      <xdr:row>0</xdr:row>
      <xdr:rowOff>66675</xdr:rowOff>
    </xdr:from>
    <xdr:to>
      <xdr:col>8</xdr:col>
      <xdr:colOff>850929</xdr:colOff>
      <xdr:row>5</xdr:row>
      <xdr:rowOff>88242</xdr:rowOff>
    </xdr:to>
    <xdr:pic>
      <xdr:nvPicPr>
        <xdr:cNvPr id="3" name="Grafik 2">
          <a:extLst>
            <a:ext uri="{FF2B5EF4-FFF2-40B4-BE49-F238E27FC236}">
              <a16:creationId xmlns:a16="http://schemas.microsoft.com/office/drawing/2014/main" id="{93A3BBDB-8D24-400E-AB67-74886E1286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0925" y="66675"/>
          <a:ext cx="1889154" cy="1059792"/>
        </a:xfrm>
        <a:prstGeom prst="rect">
          <a:avLst/>
        </a:prstGeom>
      </xdr:spPr>
    </xdr:pic>
    <xdr:clientData/>
  </xdr:twoCellAnchor>
  <xdr:twoCellAnchor>
    <xdr:from>
      <xdr:col>6</xdr:col>
      <xdr:colOff>180975</xdr:colOff>
      <xdr:row>22</xdr:row>
      <xdr:rowOff>114300</xdr:rowOff>
    </xdr:from>
    <xdr:to>
      <xdr:col>20</xdr:col>
      <xdr:colOff>466725</xdr:colOff>
      <xdr:row>42</xdr:row>
      <xdr:rowOff>85726</xdr:rowOff>
    </xdr:to>
    <xdr:graphicFrame macro="">
      <xdr:nvGraphicFramePr>
        <xdr:cNvPr id="4" name="Diagramm 3">
          <a:extLst>
            <a:ext uri="{FF2B5EF4-FFF2-40B4-BE49-F238E27FC236}">
              <a16:creationId xmlns:a16="http://schemas.microsoft.com/office/drawing/2014/main" id="{07F2EC26-2E1A-4B20-8FF0-278EF136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47625</xdr:colOff>
      <xdr:row>0</xdr:row>
      <xdr:rowOff>109537</xdr:rowOff>
    </xdr:from>
    <xdr:to>
      <xdr:col>26</xdr:col>
      <xdr:colOff>352425</xdr:colOff>
      <xdr:row>15</xdr:row>
      <xdr:rowOff>147637</xdr:rowOff>
    </xdr:to>
    <xdr:graphicFrame macro="">
      <xdr:nvGraphicFramePr>
        <xdr:cNvPr id="3" name="Diagramm 2">
          <a:extLst>
            <a:ext uri="{FF2B5EF4-FFF2-40B4-BE49-F238E27FC236}">
              <a16:creationId xmlns:a16="http://schemas.microsoft.com/office/drawing/2014/main" id="{9B25DA57-5726-45DC-9F25-06FEBCDBEC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47625</xdr:colOff>
      <xdr:row>1</xdr:row>
      <xdr:rowOff>171450</xdr:rowOff>
    </xdr:from>
    <xdr:to>
      <xdr:col>17</xdr:col>
      <xdr:colOff>12729</xdr:colOff>
      <xdr:row>6</xdr:row>
      <xdr:rowOff>145392</xdr:rowOff>
    </xdr:to>
    <xdr:pic>
      <xdr:nvPicPr>
        <xdr:cNvPr id="2" name="Grafik 1">
          <a:extLst>
            <a:ext uri="{FF2B5EF4-FFF2-40B4-BE49-F238E27FC236}">
              <a16:creationId xmlns:a16="http://schemas.microsoft.com/office/drawing/2014/main" id="{14BE163E-E3C9-4A47-BF9D-835677E2C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53800" y="361950"/>
          <a:ext cx="1889154" cy="1059792"/>
        </a:xfrm>
        <a:prstGeom prst="rect">
          <a:avLst/>
        </a:prstGeom>
      </xdr:spPr>
    </xdr:pic>
    <xdr:clientData/>
  </xdr:twoCellAnchor>
  <xdr:twoCellAnchor>
    <xdr:from>
      <xdr:col>6</xdr:col>
      <xdr:colOff>295275</xdr:colOff>
      <xdr:row>23</xdr:row>
      <xdr:rowOff>19050</xdr:rowOff>
    </xdr:from>
    <xdr:to>
      <xdr:col>19</xdr:col>
      <xdr:colOff>152400</xdr:colOff>
      <xdr:row>43</xdr:row>
      <xdr:rowOff>133350</xdr:rowOff>
    </xdr:to>
    <xdr:graphicFrame macro="">
      <xdr:nvGraphicFramePr>
        <xdr:cNvPr id="4" name="Diagramm 3">
          <a:extLst>
            <a:ext uri="{FF2B5EF4-FFF2-40B4-BE49-F238E27FC236}">
              <a16:creationId xmlns:a16="http://schemas.microsoft.com/office/drawing/2014/main" id="{9EAF7DF4-3D40-4823-A39D-1FBB03C3B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142875</xdr:colOff>
      <xdr:row>31</xdr:row>
      <xdr:rowOff>123825</xdr:rowOff>
    </xdr:from>
    <xdr:to>
      <xdr:col>4</xdr:col>
      <xdr:colOff>1755349</xdr:colOff>
      <xdr:row>49</xdr:row>
      <xdr:rowOff>48294</xdr:rowOff>
    </xdr:to>
    <xdr:pic>
      <xdr:nvPicPr>
        <xdr:cNvPr id="2" name="Grafik 1">
          <a:extLst>
            <a:ext uri="{FF2B5EF4-FFF2-40B4-BE49-F238E27FC236}">
              <a16:creationId xmlns:a16="http://schemas.microsoft.com/office/drawing/2014/main" id="{8BB3A2B2-4545-4A76-914F-0FA75BA41A35}"/>
            </a:ext>
          </a:extLst>
        </xdr:cNvPr>
        <xdr:cNvPicPr>
          <a:picLocks noChangeAspect="1"/>
        </xdr:cNvPicPr>
      </xdr:nvPicPr>
      <xdr:blipFill>
        <a:blip xmlns:r="http://schemas.openxmlformats.org/officeDocument/2006/relationships" r:embed="rId1"/>
        <a:stretch>
          <a:fillRect/>
        </a:stretch>
      </xdr:blipFill>
      <xdr:spPr>
        <a:xfrm>
          <a:off x="1285875" y="6029325"/>
          <a:ext cx="4727149" cy="3353469"/>
        </a:xfrm>
        <a:prstGeom prst="rect">
          <a:avLst/>
        </a:prstGeom>
      </xdr:spPr>
    </xdr:pic>
    <xdr:clientData/>
  </xdr:twoCellAnchor>
  <xdr:twoCellAnchor editAs="oneCell">
    <xdr:from>
      <xdr:col>5</xdr:col>
      <xdr:colOff>37235</xdr:colOff>
      <xdr:row>32</xdr:row>
      <xdr:rowOff>45027</xdr:rowOff>
    </xdr:from>
    <xdr:to>
      <xdr:col>8</xdr:col>
      <xdr:colOff>324606</xdr:colOff>
      <xdr:row>43</xdr:row>
      <xdr:rowOff>57150</xdr:rowOff>
    </xdr:to>
    <xdr:pic>
      <xdr:nvPicPr>
        <xdr:cNvPr id="3" name="Grafik 2">
          <a:extLst>
            <a:ext uri="{FF2B5EF4-FFF2-40B4-BE49-F238E27FC236}">
              <a16:creationId xmlns:a16="http://schemas.microsoft.com/office/drawing/2014/main" id="{670DEEAA-C131-4183-94AA-14A4A178B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85660" y="6141027"/>
          <a:ext cx="5240371" cy="2107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13853</xdr:colOff>
      <xdr:row>43</xdr:row>
      <xdr:rowOff>150668</xdr:rowOff>
    </xdr:from>
    <xdr:to>
      <xdr:col>8</xdr:col>
      <xdr:colOff>160193</xdr:colOff>
      <xdr:row>51</xdr:row>
      <xdr:rowOff>169718</xdr:rowOff>
    </xdr:to>
    <xdr:pic>
      <xdr:nvPicPr>
        <xdr:cNvPr id="4" name="Grafik 3">
          <a:extLst>
            <a:ext uri="{FF2B5EF4-FFF2-40B4-BE49-F238E27FC236}">
              <a16:creationId xmlns:a16="http://schemas.microsoft.com/office/drawing/2014/main" id="{C3DE6E97-9F74-4EE2-A9A5-CA5F56BC7F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62278" y="8342168"/>
          <a:ext cx="500409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2377537</xdr:colOff>
      <xdr:row>52</xdr:row>
      <xdr:rowOff>157044</xdr:rowOff>
    </xdr:from>
    <xdr:to>
      <xdr:col>8</xdr:col>
      <xdr:colOff>498762</xdr:colOff>
      <xdr:row>73</xdr:row>
      <xdr:rowOff>49656</xdr:rowOff>
    </xdr:to>
    <xdr:pic>
      <xdr:nvPicPr>
        <xdr:cNvPr id="5" name="Grafik 4">
          <a:extLst>
            <a:ext uri="{FF2B5EF4-FFF2-40B4-BE49-F238E27FC236}">
              <a16:creationId xmlns:a16="http://schemas.microsoft.com/office/drawing/2014/main" id="{4067DE32-27A4-407B-9A21-A11582C73034}"/>
            </a:ext>
          </a:extLst>
        </xdr:cNvPr>
        <xdr:cNvPicPr>
          <a:picLocks noChangeAspect="1"/>
        </xdr:cNvPicPr>
      </xdr:nvPicPr>
      <xdr:blipFill>
        <a:blip xmlns:r="http://schemas.openxmlformats.org/officeDocument/2006/relationships" r:embed="rId4"/>
        <a:stretch>
          <a:fillRect/>
        </a:stretch>
      </xdr:blipFill>
      <xdr:spPr>
        <a:xfrm>
          <a:off x="6101812" y="10063044"/>
          <a:ext cx="5855525" cy="3893112"/>
        </a:xfrm>
        <a:prstGeom prst="rect">
          <a:avLst/>
        </a:prstGeom>
      </xdr:spPr>
    </xdr:pic>
    <xdr:clientData/>
  </xdr:twoCellAnchor>
  <xdr:twoCellAnchor editAs="oneCell">
    <xdr:from>
      <xdr:col>10</xdr:col>
      <xdr:colOff>512618</xdr:colOff>
      <xdr:row>47</xdr:row>
      <xdr:rowOff>138544</xdr:rowOff>
    </xdr:from>
    <xdr:to>
      <xdr:col>27</xdr:col>
      <xdr:colOff>142178</xdr:colOff>
      <xdr:row>72</xdr:row>
      <xdr:rowOff>137949</xdr:rowOff>
    </xdr:to>
    <xdr:pic>
      <xdr:nvPicPr>
        <xdr:cNvPr id="6" name="Grafik 5">
          <a:extLst>
            <a:ext uri="{FF2B5EF4-FFF2-40B4-BE49-F238E27FC236}">
              <a16:creationId xmlns:a16="http://schemas.microsoft.com/office/drawing/2014/main" id="{C46F8A5D-C841-4E46-8F27-C547D2701E23}"/>
            </a:ext>
          </a:extLst>
        </xdr:cNvPr>
        <xdr:cNvPicPr>
          <a:picLocks noChangeAspect="1"/>
        </xdr:cNvPicPr>
      </xdr:nvPicPr>
      <xdr:blipFill>
        <a:blip xmlns:r="http://schemas.openxmlformats.org/officeDocument/2006/relationships" r:embed="rId5"/>
        <a:stretch>
          <a:fillRect/>
        </a:stretch>
      </xdr:blipFill>
      <xdr:spPr>
        <a:xfrm>
          <a:off x="12123593" y="9092044"/>
          <a:ext cx="12583560" cy="4761905"/>
        </a:xfrm>
        <a:prstGeom prst="rect">
          <a:avLst/>
        </a:prstGeom>
      </xdr:spPr>
    </xdr:pic>
    <xdr:clientData/>
  </xdr:twoCellAnchor>
  <xdr:twoCellAnchor editAs="oneCell">
    <xdr:from>
      <xdr:col>10</xdr:col>
      <xdr:colOff>355020</xdr:colOff>
      <xdr:row>40</xdr:row>
      <xdr:rowOff>123827</xdr:rowOff>
    </xdr:from>
    <xdr:to>
      <xdr:col>15</xdr:col>
      <xdr:colOff>261040</xdr:colOff>
      <xdr:row>46</xdr:row>
      <xdr:rowOff>123684</xdr:rowOff>
    </xdr:to>
    <xdr:pic>
      <xdr:nvPicPr>
        <xdr:cNvPr id="7" name="Grafik 6">
          <a:extLst>
            <a:ext uri="{FF2B5EF4-FFF2-40B4-BE49-F238E27FC236}">
              <a16:creationId xmlns:a16="http://schemas.microsoft.com/office/drawing/2014/main" id="{A8080DE0-3D8F-44FF-875A-F3D27D7C6310}"/>
            </a:ext>
          </a:extLst>
        </xdr:cNvPr>
        <xdr:cNvPicPr>
          <a:picLocks noChangeAspect="1"/>
        </xdr:cNvPicPr>
      </xdr:nvPicPr>
      <xdr:blipFill>
        <a:blip xmlns:r="http://schemas.openxmlformats.org/officeDocument/2006/relationships" r:embed="rId6"/>
        <a:stretch>
          <a:fillRect/>
        </a:stretch>
      </xdr:blipFill>
      <xdr:spPr>
        <a:xfrm>
          <a:off x="11965995" y="7743827"/>
          <a:ext cx="3716019" cy="1142857"/>
        </a:xfrm>
        <a:prstGeom prst="rect">
          <a:avLst/>
        </a:prstGeom>
      </xdr:spPr>
    </xdr:pic>
    <xdr:clientData/>
  </xdr:twoCellAnchor>
  <xdr:twoCellAnchor editAs="oneCell">
    <xdr:from>
      <xdr:col>17</xdr:col>
      <xdr:colOff>155866</xdr:colOff>
      <xdr:row>40</xdr:row>
      <xdr:rowOff>155864</xdr:rowOff>
    </xdr:from>
    <xdr:to>
      <xdr:col>20</xdr:col>
      <xdr:colOff>4079</xdr:colOff>
      <xdr:row>45</xdr:row>
      <xdr:rowOff>136697</xdr:rowOff>
    </xdr:to>
    <xdr:pic>
      <xdr:nvPicPr>
        <xdr:cNvPr id="8" name="Grafik 7">
          <a:extLst>
            <a:ext uri="{FF2B5EF4-FFF2-40B4-BE49-F238E27FC236}">
              <a16:creationId xmlns:a16="http://schemas.microsoft.com/office/drawing/2014/main" id="{0AF55B58-ADFF-40FC-B1D2-FAD88DCB8B79}"/>
            </a:ext>
          </a:extLst>
        </xdr:cNvPr>
        <xdr:cNvPicPr>
          <a:picLocks noChangeAspect="1"/>
        </xdr:cNvPicPr>
      </xdr:nvPicPr>
      <xdr:blipFill>
        <a:blip xmlns:r="http://schemas.openxmlformats.org/officeDocument/2006/relationships" r:embed="rId7"/>
        <a:stretch>
          <a:fillRect/>
        </a:stretch>
      </xdr:blipFill>
      <xdr:spPr>
        <a:xfrm>
          <a:off x="16034041" y="7775864"/>
          <a:ext cx="2029439" cy="933333"/>
        </a:xfrm>
        <a:prstGeom prst="rect">
          <a:avLst/>
        </a:prstGeom>
      </xdr:spPr>
    </xdr:pic>
    <xdr:clientData/>
  </xdr:twoCellAnchor>
  <xdr:twoCellAnchor>
    <xdr:from>
      <xdr:col>18</xdr:col>
      <xdr:colOff>15588</xdr:colOff>
      <xdr:row>3</xdr:row>
      <xdr:rowOff>119496</xdr:rowOff>
    </xdr:from>
    <xdr:to>
      <xdr:col>39</xdr:col>
      <xdr:colOff>344634</xdr:colOff>
      <xdr:row>42</xdr:row>
      <xdr:rowOff>19051</xdr:rowOff>
    </xdr:to>
    <xdr:graphicFrame macro="">
      <xdr:nvGraphicFramePr>
        <xdr:cNvPr id="9" name="Diagramm 8">
          <a:extLst>
            <a:ext uri="{FF2B5EF4-FFF2-40B4-BE49-F238E27FC236}">
              <a16:creationId xmlns:a16="http://schemas.microsoft.com/office/drawing/2014/main" id="{E1492A0C-2EEF-437D-8BB4-18052DC85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30</xdr:col>
      <xdr:colOff>536865</xdr:colOff>
      <xdr:row>46</xdr:row>
      <xdr:rowOff>34637</xdr:rowOff>
    </xdr:from>
    <xdr:to>
      <xdr:col>44</xdr:col>
      <xdr:colOff>605662</xdr:colOff>
      <xdr:row>87</xdr:row>
      <xdr:rowOff>157470</xdr:rowOff>
    </xdr:to>
    <xdr:pic>
      <xdr:nvPicPr>
        <xdr:cNvPr id="10" name="Grafik 9">
          <a:extLst>
            <a:ext uri="{FF2B5EF4-FFF2-40B4-BE49-F238E27FC236}">
              <a16:creationId xmlns:a16="http://schemas.microsoft.com/office/drawing/2014/main" id="{7AFA23C2-B797-46E6-8026-363FFA75EFD6}"/>
            </a:ext>
          </a:extLst>
        </xdr:cNvPr>
        <xdr:cNvPicPr>
          <a:picLocks noChangeAspect="1"/>
        </xdr:cNvPicPr>
      </xdr:nvPicPr>
      <xdr:blipFill>
        <a:blip xmlns:r="http://schemas.openxmlformats.org/officeDocument/2006/relationships" r:embed="rId9"/>
        <a:stretch>
          <a:fillRect/>
        </a:stretch>
      </xdr:blipFill>
      <xdr:spPr>
        <a:xfrm>
          <a:off x="24339840" y="8797637"/>
          <a:ext cx="10812997" cy="79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762001</xdr:colOff>
      <xdr:row>74</xdr:row>
      <xdr:rowOff>58017</xdr:rowOff>
    </xdr:from>
    <xdr:to>
      <xdr:col>6</xdr:col>
      <xdr:colOff>64508</xdr:colOff>
      <xdr:row>97</xdr:row>
      <xdr:rowOff>68155</xdr:rowOff>
    </xdr:to>
    <xdr:pic>
      <xdr:nvPicPr>
        <xdr:cNvPr id="2" name="Grafik 1">
          <a:extLst>
            <a:ext uri="{FF2B5EF4-FFF2-40B4-BE49-F238E27FC236}">
              <a16:creationId xmlns:a16="http://schemas.microsoft.com/office/drawing/2014/main" id="{91968838-FDFD-406C-908E-0C7BE76FBCE9}"/>
            </a:ext>
          </a:extLst>
        </xdr:cNvPr>
        <xdr:cNvPicPr>
          <a:picLocks noChangeAspect="1"/>
        </xdr:cNvPicPr>
      </xdr:nvPicPr>
      <xdr:blipFill>
        <a:blip xmlns:r="http://schemas.openxmlformats.org/officeDocument/2006/relationships" r:embed="rId1"/>
        <a:stretch>
          <a:fillRect/>
        </a:stretch>
      </xdr:blipFill>
      <xdr:spPr>
        <a:xfrm>
          <a:off x="2199410" y="14813108"/>
          <a:ext cx="8169416" cy="4391638"/>
        </a:xfrm>
        <a:prstGeom prst="rect">
          <a:avLst/>
        </a:prstGeom>
      </xdr:spPr>
    </xdr:pic>
    <xdr:clientData/>
  </xdr:twoCellAnchor>
  <xdr:twoCellAnchor editAs="oneCell">
    <xdr:from>
      <xdr:col>11</xdr:col>
      <xdr:colOff>1975752</xdr:colOff>
      <xdr:row>73</xdr:row>
      <xdr:rowOff>131211</xdr:rowOff>
    </xdr:from>
    <xdr:to>
      <xdr:col>17</xdr:col>
      <xdr:colOff>287727</xdr:colOff>
      <xdr:row>81</xdr:row>
      <xdr:rowOff>72532</xdr:rowOff>
    </xdr:to>
    <xdr:pic>
      <xdr:nvPicPr>
        <xdr:cNvPr id="3" name="Grafik 2">
          <a:extLst>
            <a:ext uri="{FF2B5EF4-FFF2-40B4-BE49-F238E27FC236}">
              <a16:creationId xmlns:a16="http://schemas.microsoft.com/office/drawing/2014/main" id="{89548407-F57C-41A8-A75B-F0F5D34476FC}"/>
            </a:ext>
          </a:extLst>
        </xdr:cNvPr>
        <xdr:cNvPicPr>
          <a:picLocks noChangeAspect="1"/>
        </xdr:cNvPicPr>
      </xdr:nvPicPr>
      <xdr:blipFill>
        <a:blip xmlns:r="http://schemas.openxmlformats.org/officeDocument/2006/relationships" r:embed="rId2"/>
        <a:stretch>
          <a:fillRect/>
        </a:stretch>
      </xdr:blipFill>
      <xdr:spPr>
        <a:xfrm>
          <a:off x="21101952" y="14123436"/>
          <a:ext cx="5989125" cy="1465321"/>
        </a:xfrm>
        <a:prstGeom prst="rect">
          <a:avLst/>
        </a:prstGeom>
      </xdr:spPr>
    </xdr:pic>
    <xdr:clientData/>
  </xdr:twoCellAnchor>
  <xdr:twoCellAnchor editAs="oneCell">
    <xdr:from>
      <xdr:col>11</xdr:col>
      <xdr:colOff>1799106</xdr:colOff>
      <xdr:row>82</xdr:row>
      <xdr:rowOff>41919</xdr:rowOff>
    </xdr:from>
    <xdr:to>
      <xdr:col>17</xdr:col>
      <xdr:colOff>555353</xdr:colOff>
      <xdr:row>97</xdr:row>
      <xdr:rowOff>318581</xdr:rowOff>
    </xdr:to>
    <xdr:pic>
      <xdr:nvPicPr>
        <xdr:cNvPr id="4" name="Grafik 3">
          <a:extLst>
            <a:ext uri="{FF2B5EF4-FFF2-40B4-BE49-F238E27FC236}">
              <a16:creationId xmlns:a16="http://schemas.microsoft.com/office/drawing/2014/main" id="{F42F7DDF-8EE9-41AE-8F17-9E4E47B1E85A}"/>
            </a:ext>
          </a:extLst>
        </xdr:cNvPr>
        <xdr:cNvPicPr>
          <a:picLocks noChangeAspect="1"/>
        </xdr:cNvPicPr>
      </xdr:nvPicPr>
      <xdr:blipFill>
        <a:blip xmlns:r="http://schemas.openxmlformats.org/officeDocument/2006/relationships" r:embed="rId3"/>
        <a:stretch>
          <a:fillRect/>
        </a:stretch>
      </xdr:blipFill>
      <xdr:spPr>
        <a:xfrm>
          <a:off x="20925306" y="15748644"/>
          <a:ext cx="6433397" cy="31341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rederic.bless\AppData\Roaming\Microsoft\AddIns\CoolProp.xla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REFPROP\REFPROP.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P%20Fit%20Cur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definedNames>
      <definedName name="PhaseSI"/>
      <definedName name="Props1SI"/>
      <definedName name="PropsSI"/>
    </defined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PROP"/>
    </sheetNames>
    <definedNames>
      <definedName name="REFPROP"/>
    </defined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s>
    <sheetDataSet>
      <sheetData sheetId="0">
        <row r="3">
          <cell r="C3" t="str">
            <v>Arpagaus et al. (2018)</v>
          </cell>
          <cell r="E3" t="str">
            <v>Schlosser et al. (2020)</v>
          </cell>
          <cell r="F3" t="str">
            <v>Schlosser et al. (2020)</v>
          </cell>
        </row>
        <row r="4">
          <cell r="C4" t="str">
            <v>Several manufacturers of IHPs</v>
          </cell>
          <cell r="E4" t="str">
            <v>Water/steam-VHTHPs</v>
          </cell>
          <cell r="F4" t="str">
            <v>Water/Water-VHTHPs</v>
          </cell>
        </row>
        <row r="5">
          <cell r="C5" t="str">
            <v>COP = A x dT_Lift^B</v>
          </cell>
          <cell r="E5" t="str">
            <v>COP = a x (dT_Lift + 2 x b)^c x (T_h_out + b)^d</v>
          </cell>
          <cell r="F5" t="str">
            <v>COP = a x (dT_Lift + 2 x b)^c x (T_h_out + b)^d</v>
          </cell>
          <cell r="N5" t="str">
            <v>Kobelco SGH120</v>
          </cell>
          <cell r="P5" t="str">
            <v>Kobelco SGH165</v>
          </cell>
        </row>
        <row r="7">
          <cell r="N7">
            <v>38.235294117647001</v>
          </cell>
          <cell r="O7">
            <v>3.9983623246138098</v>
          </cell>
          <cell r="P7">
            <v>64.705882352941103</v>
          </cell>
          <cell r="Q7">
            <v>2.8378258752711001</v>
          </cell>
        </row>
        <row r="8">
          <cell r="N8">
            <v>39.2156862745098</v>
          </cell>
          <cell r="O8">
            <v>3.9194293217663301</v>
          </cell>
          <cell r="P8">
            <v>74.019607843137194</v>
          </cell>
          <cell r="Q8">
            <v>2.66922645657209</v>
          </cell>
        </row>
        <row r="9">
          <cell r="N9">
            <v>41.421568627450903</v>
          </cell>
          <cell r="O9">
            <v>3.7615817583617299</v>
          </cell>
          <cell r="P9">
            <v>74.509803921568604</v>
          </cell>
          <cell r="Q9">
            <v>2.5112497971347998</v>
          </cell>
        </row>
        <row r="10">
          <cell r="N10">
            <v>43.137254901960802</v>
          </cell>
          <cell r="O10">
            <v>3.5924106286607902</v>
          </cell>
          <cell r="P10">
            <v>81.862745098039198</v>
          </cell>
          <cell r="Q10">
            <v>2.5795231561398002</v>
          </cell>
        </row>
        <row r="11">
          <cell r="N11">
            <v>48.039215686274503</v>
          </cell>
          <cell r="O11">
            <v>3.2767523864323702</v>
          </cell>
          <cell r="P11">
            <v>83.823529411764696</v>
          </cell>
          <cell r="Q11">
            <v>2.4216571504448199</v>
          </cell>
        </row>
        <row r="12">
          <cell r="N12">
            <v>49.264705882352899</v>
          </cell>
          <cell r="O12">
            <v>3.2091245075908401</v>
          </cell>
          <cell r="P12">
            <v>83.823529411764696</v>
          </cell>
          <cell r="Q12">
            <v>2.24107024299561</v>
          </cell>
        </row>
        <row r="13">
          <cell r="B13">
            <v>10</v>
          </cell>
          <cell r="C13">
            <v>11.896115573203845</v>
          </cell>
          <cell r="E13">
            <v>7.1225251025518412</v>
          </cell>
          <cell r="F13">
            <v>14.249481788379583</v>
          </cell>
          <cell r="N13">
            <v>50.245098039215598</v>
          </cell>
          <cell r="O13">
            <v>3.1189048230277798</v>
          </cell>
          <cell r="P13">
            <v>92.156862745097996</v>
          </cell>
          <cell r="Q13">
            <v>2.2529839625842798</v>
          </cell>
        </row>
        <row r="14">
          <cell r="B14">
            <v>15</v>
          </cell>
          <cell r="C14">
            <v>8.7412958236066274</v>
          </cell>
          <cell r="E14">
            <v>5.7737512104091087</v>
          </cell>
          <cell r="F14">
            <v>9.955059554034527</v>
          </cell>
          <cell r="N14">
            <v>57.843137254901897</v>
          </cell>
          <cell r="O14">
            <v>2.7808760825624401</v>
          </cell>
          <cell r="P14">
            <v>95.0980392156862</v>
          </cell>
          <cell r="Q14">
            <v>2.28706531521562</v>
          </cell>
        </row>
        <row r="15">
          <cell r="B15">
            <v>20</v>
          </cell>
          <cell r="C15">
            <v>7.0246125957356513</v>
          </cell>
          <cell r="E15">
            <v>4.9731986870068363</v>
          </cell>
          <cell r="F15">
            <v>7.7143254506790475</v>
          </cell>
          <cell r="N15">
            <v>58.823529411764703</v>
          </cell>
          <cell r="O15">
            <v>2.7358031248616799</v>
          </cell>
          <cell r="P15">
            <v>95.343137254901904</v>
          </cell>
          <cell r="Q15">
            <v>2.12907021348795</v>
          </cell>
        </row>
        <row r="16">
          <cell r="B16">
            <v>25</v>
          </cell>
          <cell r="C16">
            <v>5.928854168911708</v>
          </cell>
          <cell r="E16">
            <v>4.4289449480732506</v>
          </cell>
          <cell r="F16">
            <v>6.3284529641188927</v>
          </cell>
          <cell r="N16">
            <v>59.803921568627402</v>
          </cell>
          <cell r="O16">
            <v>2.6568701220141899</v>
          </cell>
          <cell r="P16">
            <v>102.941176470588</v>
          </cell>
          <cell r="Q16">
            <v>2.01677510733413</v>
          </cell>
        </row>
        <row r="17">
          <cell r="B17">
            <v>30</v>
          </cell>
          <cell r="C17">
            <v>5.1617031095320156</v>
          </cell>
          <cell r="E17">
            <v>4.0285115049820153</v>
          </cell>
          <cell r="F17">
            <v>5.3824382372162853</v>
          </cell>
          <cell r="N17">
            <v>69.117647058823493</v>
          </cell>
          <cell r="O17">
            <v>2.1722436152790601</v>
          </cell>
          <cell r="P17">
            <v>105.14705882352899</v>
          </cell>
          <cell r="Q17">
            <v>1.99436772451644</v>
          </cell>
        </row>
        <row r="18">
          <cell r="B18">
            <v>35</v>
          </cell>
          <cell r="C18">
            <v>4.5910652068340152</v>
          </cell>
          <cell r="E18">
            <v>3.7181880952371706</v>
          </cell>
          <cell r="F18">
            <v>4.6934897826052477</v>
          </cell>
          <cell r="P18">
            <v>105.88235294117599</v>
          </cell>
          <cell r="Q18">
            <v>2.0734298233966202</v>
          </cell>
        </row>
        <row r="19">
          <cell r="B19">
            <v>40</v>
          </cell>
          <cell r="C19">
            <v>4.1480079624746224</v>
          </cell>
          <cell r="E19">
            <v>3.4686798313791032</v>
          </cell>
          <cell r="F19">
            <v>4.1682174953517466</v>
          </cell>
          <cell r="P19">
            <v>112.00980392156799</v>
          </cell>
          <cell r="Q19">
            <v>1.6449969754643701</v>
          </cell>
        </row>
        <row r="20">
          <cell r="B20">
            <v>45</v>
          </cell>
          <cell r="C20">
            <v>3.7928325054005763</v>
          </cell>
          <cell r="E20">
            <v>3.2624797241489216</v>
          </cell>
          <cell r="F20">
            <v>3.7538017741007774</v>
          </cell>
          <cell r="P20">
            <v>114.705882352941</v>
          </cell>
          <cell r="Q20">
            <v>1.80321338467667</v>
          </cell>
        </row>
        <row r="21">
          <cell r="B21">
            <v>50</v>
          </cell>
          <cell r="C21">
            <v>3.5009666320853023</v>
          </cell>
          <cell r="E21">
            <v>3.0884007182112909</v>
          </cell>
          <cell r="F21">
            <v>3.4180625538746612</v>
          </cell>
          <cell r="P21">
            <v>115.686274509803</v>
          </cell>
          <cell r="Q21">
            <v>1.8258605172693601</v>
          </cell>
        </row>
        <row r="22">
          <cell r="B22">
            <v>55</v>
          </cell>
          <cell r="C22">
            <v>3.2563384011895073</v>
          </cell>
          <cell r="E22">
            <v>2.9389178222150996</v>
          </cell>
          <cell r="F22">
            <v>3.1402460471639095</v>
          </cell>
          <cell r="P22">
            <v>125.24509803921499</v>
          </cell>
          <cell r="Q22">
            <v>1.49926599684268</v>
          </cell>
        </row>
        <row r="23">
          <cell r="B23">
            <v>60</v>
          </cell>
          <cell r="C23">
            <v>3.0479667464176496</v>
          </cell>
          <cell r="E23">
            <v>2.8087594264119473</v>
          </cell>
          <cell r="F23">
            <v>2.9063510464988642</v>
          </cell>
        </row>
        <row r="24">
          <cell r="B24">
            <v>65</v>
          </cell>
          <cell r="C24">
            <v>2.8680784329213895</v>
          </cell>
          <cell r="E24">
            <v>2.6941086067126534</v>
          </cell>
          <cell r="F24">
            <v>2.706580185327375</v>
          </cell>
        </row>
        <row r="25">
          <cell r="B25">
            <v>70</v>
          </cell>
          <cell r="C25">
            <v>2.7110071587077096</v>
          </cell>
          <cell r="E25">
            <v>2.5921250688496658</v>
          </cell>
          <cell r="F25">
            <v>2.5338669400434366</v>
          </cell>
        </row>
        <row r="26">
          <cell r="B26">
            <v>75</v>
          </cell>
          <cell r="C26">
            <v>2.5725191396565648</v>
          </cell>
          <cell r="E26">
            <v>2.5006459764814912</v>
          </cell>
          <cell r="F26">
            <v>2.3829827524264497</v>
          </cell>
        </row>
        <row r="27">
          <cell r="B27">
            <v>80</v>
          </cell>
          <cell r="C27">
            <v>2.4493834816168953</v>
          </cell>
          <cell r="E27">
            <v>2.4179916096218852</v>
          </cell>
          <cell r="F27">
            <v>2.2499737550791941</v>
          </cell>
        </row>
        <row r="28">
          <cell r="B28">
            <v>85</v>
          </cell>
          <cell r="C28">
            <v>2.3390892405192409</v>
          </cell>
          <cell r="E28">
            <v>2.3428350512073801</v>
          </cell>
          <cell r="F28">
            <v>2.1317931624341195</v>
          </cell>
        </row>
        <row r="29">
          <cell r="B29">
            <v>90</v>
          </cell>
          <cell r="C29">
            <v>2.2396536774547293</v>
          </cell>
          <cell r="E29">
            <v>2.2741123864547323</v>
          </cell>
          <cell r="F29">
            <v>2.026054245970081</v>
          </cell>
        </row>
        <row r="30">
          <cell r="B30">
            <v>95</v>
          </cell>
          <cell r="C30">
            <v>2.1494890386851755</v>
          </cell>
          <cell r="E30">
            <v>2.210959330363349</v>
          </cell>
          <cell r="F30">
            <v>1.9308600641840648</v>
          </cell>
        </row>
        <row r="31">
          <cell r="B31">
            <v>100</v>
          </cell>
          <cell r="C31">
            <v>2.0673079502011991</v>
          </cell>
          <cell r="E31">
            <v>2.1526655609418461</v>
          </cell>
          <cell r="F31">
            <v>1.8446834470312996</v>
          </cell>
        </row>
      </sheetData>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eDaten_1" connectionId="1" xr16:uid="{B320E4C0-C9AC-4035-8B20-4944EDCF1B1A}" autoFormatId="16" applyNumberFormats="0" applyBorderFormats="0" applyFontFormats="0" applyPatternFormats="0" applyAlignmentFormats="0" applyWidthHeightFormats="0">
  <queryTableRefresh nextId="16">
    <queryTableFields count="11">
      <queryTableField id="1" name="title" tableColumnId="1"/>
      <queryTableField id="2" name="link" tableColumnId="2"/>
      <queryTableField id="4" name="description" tableColumnId="4"/>
      <queryTableField id="7" name="pubDate" tableColumnId="7"/>
      <queryTableField id="6" name="baseCurrency" tableColumnId="6"/>
      <queryTableField id="9" name="baseName" tableColumnId="9"/>
      <queryTableField id="10" name="targetCurrency" tableColumnId="10"/>
      <queryTableField id="11" name="targetName" tableColumnId="11"/>
      <queryTableField id="12" name="exchangeRate" tableColumnId="12"/>
      <queryTableField id="13" name="inverseRate" tableColumnId="13"/>
      <queryTableField id="14" name="inverseDescription" tableColumnId="14"/>
    </queryTableFields>
  </queryTableRefresh>
</queryTable>
</file>

<file path=xl/tables/_rels/table8.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1F69A4B-9F9E-429C-82DE-FE9271E298FD}" name="Tabelle3" displayName="Tabelle3" ref="A1:D71" totalsRowShown="0" headerRowDxfId="46" dataDxfId="45">
  <autoFilter ref="A1:D71" xr:uid="{41F69A4B-9F9E-429C-82DE-FE9271E298FD}"/>
  <tableColumns count="4">
    <tableColumn id="1" xr3:uid="{294A223F-D715-4543-990F-4159CA68F4E0}" name="code" dataDxfId="44"/>
    <tableColumn id="2" xr3:uid="{708E1360-BE73-4645-AC3A-0090778663E5}" name="english" dataDxfId="43"/>
    <tableColumn id="3" xr3:uid="{77F75C91-AD7E-415E-99CF-14199B925FDD}" name="deutsch" dataDxfId="42"/>
    <tableColumn id="4" xr3:uid="{BE8836F5-071B-46D8-AA74-93EFCB809F79}" name="français" dataDxfId="41"/>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BE56207-33ED-4756-9A85-20BCEB49EB5B}" name="MenuTable" displayName="MenuTable" ref="K4:N8" totalsRowShown="0" headerRowDxfId="5" dataDxfId="4">
  <autoFilter ref="K4:N8" xr:uid="{4544FEDA-CE23-48E3-876B-79CBD07C8A85}"/>
  <tableColumns count="4">
    <tableColumn id="1" xr3:uid="{44046DB1-4A74-44F6-9AF7-9E06C93DCDDE}" name="menu name" dataDxfId="3"/>
    <tableColumn id="2" xr3:uid="{ADB5C495-1C97-452C-B7C3-50B9FAAA7BB2}" name="menu worksheet" dataDxfId="2"/>
    <tableColumn id="4" xr3:uid="{8D0747C5-EDC9-484B-B3A4-B8E653CE0203}" name="menu cell" dataDxfId="1"/>
    <tableColumn id="3" xr3:uid="{992113FF-03B2-4CAF-B034-B32B3FC72F47}" name="menu link" dataDxfId="0">
      <calculatedColumnFormula>FileNameVar&amp;MenuTable[[#This Row],[menu worksheet]]&amp;"!"&amp;MenuTable[[#This Row],[menu cell]]</calculatedColumnFormula>
    </tableColumn>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45465BD-9C1F-4ED9-AF47-350B5EDF30CE}" name="RefrigerantTable" displayName="RefrigerantTable" ref="A1:A12" totalsRowShown="0">
  <autoFilter ref="A1:A12" xr:uid="{7EAB3076-86D9-4AD7-8014-70AE7B501A5B}"/>
  <sortState xmlns:xlrd2="http://schemas.microsoft.com/office/spreadsheetml/2017/richdata2" ref="A2:A12">
    <sortCondition ref="A1:A12"/>
  </sortState>
  <tableColumns count="1">
    <tableColumn id="1" xr3:uid="{053F3BFA-11A8-4445-B28E-5DEBFF610762}" name="refrigerant"/>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BD069E0-7C7B-433A-B8F3-2A4DB217B018}" name="FitsTable" displayName="FitsTable" ref="A1:A7" totalsRowShown="0">
  <autoFilter ref="A1:A7" xr:uid="{AF9CBD6B-9CA3-499A-A9E6-ED2E55D59C2B}"/>
  <tableColumns count="1">
    <tableColumn id="1" xr3:uid="{95753C66-8752-4F9B-BC58-56C47DD20CB0}" name="fits"/>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29B86BF-9482-4DD3-AFCF-C71BF986488D}" name="RegionTable" displayName="RegionTable" ref="A1:N44" totalsRowShown="0" headerRowDxfId="38">
  <autoFilter ref="A1:N44" xr:uid="{9800764D-2B04-4ABE-93D6-DDB82BFEB559}"/>
  <sortState xmlns:xlrd2="http://schemas.microsoft.com/office/spreadsheetml/2017/richdata2" ref="A2:J44">
    <sortCondition ref="A1:A44"/>
  </sortState>
  <tableColumns count="14">
    <tableColumn id="1" xr3:uid="{B31C8B96-C5C8-48A8-9BBC-A4804D637646}" name="region"/>
    <tableColumn id="8" xr3:uid="{6367DFD0-BCB4-4EFA-A76B-15F2A66D8A50}" name="electricity_region"/>
    <tableColumn id="5" xr3:uid="{F67EF143-F7CE-4217-975B-C1ED02B44D8E}" name="year_CO2_01"/>
    <tableColumn id="2" xr3:uid="{88924338-EAE1-42CC-B690-5D4F806CA20B}" name="CO2 emission electricity [kg/kWh]" dataDxfId="37"/>
    <tableColumn id="3" xr3:uid="{732F61A1-164F-469E-AE71-ACD82979A91C}" name="CO2 emission gas [kg/kWh]" dataDxfId="36"/>
    <tableColumn id="4" xr3:uid="{8116DF5D-BE57-4E2B-B6FE-77B7A62205CA}" name="CO2 emission distillate oil [kg/kWh]" dataDxfId="35"/>
    <tableColumn id="6" xr3:uid="{E7F88C84-51D1-4F85-AF6A-842621DFC6AF}" name="year_electricity_01" dataDxfId="34"/>
    <tableColumn id="7" xr3:uid="{61B5AD52-7A2B-4878-B7AF-148E097688DF}" name="electricity price_01 [Euro/kWh]" dataDxfId="33"/>
    <tableColumn id="9" xr3:uid="{6D616C16-EB15-4846-AB24-B84CAD74D72E}" name="year_gas_price_01" dataDxfId="32"/>
    <tableColumn id="10" xr3:uid="{D1DAC9FB-AE54-4A6B-B1F5-3592A1B2C8B2}" name="gas price_01 [Euro/GJ (GCV)]" dataDxfId="31"/>
    <tableColumn id="14" xr3:uid="{DC620350-7870-414A-A866-2BD4620193FB}" name="year_oil_price_01"/>
    <tableColumn id="13" xr3:uid="{38E66858-7040-462F-98B7-7105AED25A44}" name="oil price_01 [Euro/GJ]"/>
    <tableColumn id="11" xr3:uid="{0AF4045A-183B-472C-9FB2-6C07AF39C531}" name="year_CO2_tax_01" dataDxfId="30"/>
    <tableColumn id="12" xr3:uid="{F0A3AD58-8E6D-4FE2-9047-2D6995EFCA11}" name="CO2 tax_01 [Euro/kg]" dataDxfId="29"/>
  </tableColumns>
  <tableStyleInfo name="TableStyleLight1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EC3BCC2-1405-46AF-860A-BE17B253E4EB}" name="list_of_regionTable" displayName="list_of_regionTable" ref="A1:A41" totalsRowShown="0" dataDxfId="28">
  <autoFilter ref="A1:A41" xr:uid="{955A763F-C5D9-42AF-AC12-15F2A540B66E}"/>
  <sortState xmlns:xlrd2="http://schemas.microsoft.com/office/spreadsheetml/2017/richdata2" ref="A2:A42">
    <sortCondition ref="A1:A42"/>
  </sortState>
  <tableColumns count="1">
    <tableColumn id="1" xr3:uid="{9DFB01B5-0E47-46F9-8EBA-2AFB483649A9}" name="region_list" dataDxfId="27"/>
  </tableColumns>
  <tableStyleInfo name="TableStyleLight1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BBE7000-ADBB-4958-B575-6958C4C91CB3}" name="RegionFilterTable" displayName="RegionFilterTable" ref="F1:F44" totalsRowShown="0">
  <autoFilter ref="F1:F44" xr:uid="{B0E5B48E-4E7B-47DB-8342-A768C52C4444}"/>
  <sortState xmlns:xlrd2="http://schemas.microsoft.com/office/spreadsheetml/2017/richdata2" ref="F2:F44">
    <sortCondition ref="F1:F44"/>
  </sortState>
  <tableColumns count="1">
    <tableColumn id="1" xr3:uid="{1A684C56-205C-4C25-9C60-9648BAE16D73}" name="electricity_drop_down_choice" dataDxfId="26">
      <calculatedColumnFormula array="1">IFERROR(INDEX(RegionTable[electricity_region],SMALL($E$2:$E$44,ROWS($A$1:A1)),COLUMN((A1))),"")</calculatedColumnFormula>
    </tableColumn>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5DCE77D-63E9-4F9A-AB4B-6209079584BD}" name="CountryCodeTable" displayName="CountryCodeTable" ref="A1:B255" totalsRowShown="0">
  <autoFilter ref="A1:B255" xr:uid="{83926F5E-09F3-49F4-A090-BBE569D156A2}"/>
  <sortState xmlns:xlrd2="http://schemas.microsoft.com/office/spreadsheetml/2017/richdata2" ref="A2:B254">
    <sortCondition ref="A1:A254"/>
  </sortState>
  <tableColumns count="2">
    <tableColumn id="2" xr3:uid="{AD7CA2A6-2727-4121-89BF-0D92BA20BC62}" name="Code Value" dataDxfId="25" dataCellStyle="Normal 3"/>
    <tableColumn id="1" xr3:uid="{65A78F19-AEBF-4218-AA94-A94D91D92A3F}" name="Country" dataDxfId="24" dataCellStyle="Normal 3"/>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9835A2B-55BB-49E6-89AB-26C8B3390163}" name="TableEuroCurrency" displayName="TableEuroCurrency" ref="A1:K149" tableType="queryTable" totalsRowShown="0">
  <autoFilter ref="A1:K149" xr:uid="{0C5A5474-3711-4061-B9AF-BB7DE79F3716}"/>
  <sortState xmlns:xlrd2="http://schemas.microsoft.com/office/spreadsheetml/2017/richdata2" ref="A2:K149">
    <sortCondition ref="G1:G149"/>
  </sortState>
  <tableColumns count="11">
    <tableColumn id="1" xr3:uid="{E92E467C-1F70-4F2B-A1FC-416D165DC152}" uniqueName="1" name="title" queryTableFieldId="1" dataDxfId="23"/>
    <tableColumn id="2" xr3:uid="{D512DF77-5936-4548-A5E6-7B004334AD6D}" uniqueName="2" name="link" queryTableFieldId="2" dataDxfId="22"/>
    <tableColumn id="4" xr3:uid="{7E5FE826-A757-48DE-8F2F-283F3420C3F9}" uniqueName="4" name="description" queryTableFieldId="4" dataDxfId="21"/>
    <tableColumn id="7" xr3:uid="{836AF023-C2EF-4A2B-B094-5429E15C3190}" uniqueName="7" name="pubDate" queryTableFieldId="7" dataDxfId="20"/>
    <tableColumn id="6" xr3:uid="{41B2BD02-EB30-4617-B042-762A42E3DA2D}" uniqueName="6" name="baseCurrency" queryTableFieldId="6" dataDxfId="19"/>
    <tableColumn id="9" xr3:uid="{AC3E581F-5A16-4804-B366-B355D978960F}" uniqueName="9" name="baseName" queryTableFieldId="9" dataDxfId="18"/>
    <tableColumn id="10" xr3:uid="{0DED8E80-DA23-4B00-A95C-4563C0D01CBD}" uniqueName="10" name="targetCurrency" queryTableFieldId="10" dataDxfId="17"/>
    <tableColumn id="11" xr3:uid="{179D22FF-DF8E-4B09-84CD-2E9D9344C81A}" uniqueName="11" name="targetName" queryTableFieldId="11" dataDxfId="16"/>
    <tableColumn id="12" xr3:uid="{A4431B17-DB7C-4BD4-9612-0CFCA2D78415}" uniqueName="12" name="exchangeRate" queryTableFieldId="12" dataDxfId="15"/>
    <tableColumn id="13" xr3:uid="{E7248607-875C-4256-A3BF-E704CBD3EA93}" uniqueName="13" name="inverseRate" queryTableFieldId="13" dataDxfId="14"/>
    <tableColumn id="14" xr3:uid="{3E8F5C7C-50AC-4E4A-9B16-225C2DDDC66D}" uniqueName="14" name="inverseDescription" queryTableFieldId="14" dataDxfId="13"/>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D4E6BE-273B-4EF1-B8E4-C1854DC19905}" name="ReferencesTable" displayName="ReferencesTable" ref="B4:F20" totalsRowShown="0" headerRowDxfId="12" dataDxfId="11">
  <autoFilter ref="B4:F20" xr:uid="{EC579D89-FA42-42B6-A9D4-74976D6A9FD3}"/>
  <tableColumns count="5">
    <tableColumn id="1" xr3:uid="{3937AC78-48B2-4829-9786-E205EC5CEE5D}" name="Reference code" dataDxfId="10"/>
    <tableColumn id="2" xr3:uid="{E525B954-59B3-4F9C-9AD1-1D5BB70E5ADB}" name="Name" dataDxfId="9"/>
    <tableColumn id="4" xr3:uid="{197857EA-F67B-48A4-9D6F-6F74B8B45C12}" name="Date" dataDxfId="8"/>
    <tableColumn id="5" xr3:uid="{15C76714-7B6A-4D24-908C-390D7EAB2D52}" name="Purpose" dataDxfId="7"/>
    <tableColumn id="3" xr3:uid="{62687F06-B7D5-4DD7-BB7F-56F8D51A41C4}" name="Link" dataDxfId="6"/>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epa.gov/egrid/download-data" TargetMode="External"/><Relationship Id="rId13" Type="http://schemas.openxmlformats.org/officeDocument/2006/relationships/hyperlink" Target="https://ec.europa.eu/eurostat/web/products-datasets/-/ten00117" TargetMode="External"/><Relationship Id="rId18" Type="http://schemas.openxmlformats.org/officeDocument/2006/relationships/table" Target="../tables/table10.xml"/><Relationship Id="rId3" Type="http://schemas.openxmlformats.org/officeDocument/2006/relationships/hyperlink" Target="https://www.energy.gov/eere/femp/purchasing-energy-efficient-large-commercial-boilers" TargetMode="External"/><Relationship Id="rId7" Type="http://schemas.openxmlformats.org/officeDocument/2006/relationships/hyperlink" Target="https://www.epa.gov/sites/default/files/2015-12/documents/iciboilers.pdf" TargetMode="External"/><Relationship Id="rId12" Type="http://schemas.openxmlformats.org/officeDocument/2006/relationships/hyperlink" Target="https://iopscience.iop.org/article/10.1088/1757-899X/90/1/012076" TargetMode="External"/><Relationship Id="rId17" Type="http://schemas.openxmlformats.org/officeDocument/2006/relationships/table" Target="../tables/table9.xml"/><Relationship Id="rId2" Type="http://schemas.openxmlformats.org/officeDocument/2006/relationships/hyperlink" Target="https://www.sciencedirect.com/science/article/pii/S1364032120305086" TargetMode="External"/><Relationship Id="rId16" Type="http://schemas.openxmlformats.org/officeDocument/2006/relationships/hyperlink" Target="https://www.zbgboiler.com/FAQ/commercial-quotation-and-technical-parameters-of-60-tph-medium-pressure-steam-boiler.html" TargetMode="External"/><Relationship Id="rId1" Type="http://schemas.openxmlformats.org/officeDocument/2006/relationships/hyperlink" Target="https://www.sciencedirect.com/science/article/pii/S1364032120305086" TargetMode="External"/><Relationship Id="rId6" Type="http://schemas.openxmlformats.org/officeDocument/2006/relationships/hyperlink" Target="https://cngcenter.com/wp-content/uploads/2013/09/UnitsAndConversions.pdf" TargetMode="External"/><Relationship Id="rId11" Type="http://schemas.openxmlformats.org/officeDocument/2006/relationships/hyperlink" Target="https://iopscience.iop.org/article/10.1088/1757-899X/90/1/012076" TargetMode="External"/><Relationship Id="rId5" Type="http://schemas.openxmlformats.org/officeDocument/2006/relationships/hyperlink" Target="https://www.eea.europa.eu/data-and-maps/daviz/co2-emission-intensity-9/" TargetMode="External"/><Relationship Id="rId15" Type="http://schemas.openxmlformats.org/officeDocument/2006/relationships/hyperlink" Target="https://carbonpricingdashboard.worldbank.org/map_data" TargetMode="External"/><Relationship Id="rId10" Type="http://schemas.openxmlformats.org/officeDocument/2006/relationships/hyperlink" Target="https://www.sciencedirect.com/science/article/pii/S1364032120309308" TargetMode="External"/><Relationship Id="rId4" Type="http://schemas.openxmlformats.org/officeDocument/2006/relationships/hyperlink" Target="https://www.bafu.admin.ch/bafu/en/home/topics/climate/questions-answers.html" TargetMode="External"/><Relationship Id="rId9" Type="http://schemas.openxmlformats.org/officeDocument/2006/relationships/hyperlink" Target="https://www.sciencedirect.com/science/article/pii/S0360544218305759" TargetMode="External"/><Relationship Id="rId14" Type="http://schemas.openxmlformats.org/officeDocument/2006/relationships/hyperlink" Target="https://ec.europa.eu/eurostat/web/products-datasets/-/ten00118"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E8A51-D57B-483A-A898-67E505EAFBB6}">
  <sheetPr codeName="Tabelle4"/>
  <dimension ref="A1:X35"/>
  <sheetViews>
    <sheetView tabSelected="1" topLeftCell="F1" workbookViewId="0">
      <selection activeCell="H22" sqref="H22"/>
    </sheetView>
  </sheetViews>
  <sheetFormatPr baseColWidth="10" defaultColWidth="0" defaultRowHeight="0" customHeight="1" zeroHeight="1" x14ac:dyDescent="0.3"/>
  <cols>
    <col min="1" max="11" width="11.42578125" style="130" customWidth="1"/>
    <col min="12" max="12" width="1.7109375" style="130" customWidth="1"/>
    <col min="13" max="24" width="11.42578125" style="130" customWidth="1"/>
    <col min="25" max="16384" width="11.42578125" style="130" hidden="1"/>
  </cols>
  <sheetData>
    <row r="1" spans="1:23" ht="18.75" x14ac:dyDescent="0.3">
      <c r="A1" s="146" t="str" cm="1">
        <f t="array" ref="A1">_xlfn.XLOOKUP("S0T3",INDEX(TranslationTable,0,1),_xlfn.XLOOKUP(lang,Translation!$B$1:$D$1,Translation!B2:D71),"error")</f>
        <v>en</v>
      </c>
    </row>
    <row r="2" spans="1:23" ht="18.75" x14ac:dyDescent="0.3">
      <c r="E2" s="232" t="str" cm="1">
        <f t="array" ref="E2">_xlfn.XLOOKUP("S1T1",INDEX(TranslationTable,0,1),_xlfn.XLOOKUP(lang,Translation!$B$1:$D$1,Translation!B2:D71),"error")</f>
        <v>General information</v>
      </c>
      <c r="F2" s="233"/>
      <c r="G2" s="233"/>
      <c r="H2" s="233"/>
      <c r="I2" s="233"/>
      <c r="J2" s="233"/>
      <c r="K2" s="233"/>
      <c r="L2" s="233"/>
      <c r="M2" s="233"/>
      <c r="N2" s="233"/>
      <c r="O2" s="233"/>
      <c r="P2" s="234"/>
    </row>
    <row r="3" spans="1:23" ht="18.75" x14ac:dyDescent="0.3">
      <c r="N3" s="131"/>
      <c r="O3" s="204"/>
      <c r="P3" s="204"/>
      <c r="Q3" s="204"/>
      <c r="R3" s="204"/>
      <c r="S3" s="204"/>
      <c r="T3" s="205"/>
      <c r="U3" s="205"/>
      <c r="V3" s="205"/>
      <c r="W3" s="205"/>
    </row>
    <row r="4" spans="1:23" ht="18.75" x14ac:dyDescent="0.3">
      <c r="O4" s="172"/>
      <c r="P4" s="172"/>
      <c r="Q4" s="172"/>
      <c r="R4" s="172"/>
      <c r="S4" s="172"/>
      <c r="T4" s="172"/>
      <c r="U4" s="205"/>
      <c r="V4" s="205"/>
      <c r="W4" s="205"/>
    </row>
    <row r="5" spans="1:23" ht="18.75" x14ac:dyDescent="0.3">
      <c r="E5" s="237" t="str" cm="1">
        <f t="array" ref="E5">_xlfn.XLOOKUP("S1T2",INDEX(TranslationTable,0,1),_xlfn.XLOOKUP(lang,Translation!$B$1:$D$1,Translation!B2:D71),"error")</f>
        <v>Choose your language:</v>
      </c>
      <c r="F5" s="237"/>
      <c r="G5" s="237"/>
      <c r="H5" s="237"/>
      <c r="I5" s="237"/>
      <c r="J5" s="237"/>
      <c r="K5" s="237"/>
      <c r="L5" s="133"/>
      <c r="M5" s="240" t="s">
        <v>1209</v>
      </c>
      <c r="N5" s="236"/>
      <c r="O5" s="134" t="str">
        <f>M5</f>
        <v>english</v>
      </c>
      <c r="P5" s="134"/>
      <c r="Q5" s="134"/>
      <c r="R5" s="134"/>
      <c r="S5" s="172"/>
      <c r="T5" s="172"/>
      <c r="U5" s="205"/>
      <c r="V5" s="205"/>
      <c r="W5" s="205"/>
    </row>
    <row r="6" spans="1:23" ht="18.75" x14ac:dyDescent="0.3">
      <c r="E6" s="135"/>
      <c r="F6" s="135"/>
      <c r="G6" s="135"/>
      <c r="H6" s="135"/>
      <c r="I6" s="135"/>
      <c r="J6" s="135"/>
      <c r="K6" s="135"/>
      <c r="L6" s="135"/>
      <c r="M6" s="135"/>
      <c r="N6" s="135"/>
      <c r="O6" s="134"/>
      <c r="P6" s="134"/>
      <c r="Q6" s="134"/>
      <c r="R6" s="134"/>
      <c r="S6" s="172"/>
      <c r="T6" s="172"/>
      <c r="U6" s="205"/>
      <c r="V6" s="205"/>
      <c r="W6" s="205"/>
    </row>
    <row r="7" spans="1:23" ht="18.75" customHeight="1" x14ac:dyDescent="0.3">
      <c r="E7" s="241" t="str" cm="1">
        <f t="array" ref="E7">_xlfn.XLOOKUP("S1T3",INDEX(TranslationTable,0,1),_xlfn.XLOOKUP(lang,Translation!$B$1:$D$1,Translation!B2:D71),"error")</f>
        <v>Are you looking to replacing an existing fossil-fuel boiler with an heat pump or to install a new heat pump rather than a fossil fuel boiler ?</v>
      </c>
      <c r="F7" s="241"/>
      <c r="G7" s="241"/>
      <c r="H7" s="241"/>
      <c r="I7" s="241"/>
      <c r="J7" s="241"/>
      <c r="K7" s="241"/>
      <c r="L7" s="136"/>
      <c r="M7" s="135"/>
      <c r="N7" s="135"/>
      <c r="O7" s="134"/>
      <c r="P7" s="134"/>
      <c r="Q7" s="134"/>
      <c r="R7" s="134"/>
      <c r="S7" s="172"/>
      <c r="T7" s="172"/>
      <c r="U7" s="205"/>
      <c r="V7" s="205"/>
      <c r="W7" s="205"/>
    </row>
    <row r="8" spans="1:23" ht="18.75" x14ac:dyDescent="0.3">
      <c r="E8" s="241"/>
      <c r="F8" s="241"/>
      <c r="G8" s="241"/>
      <c r="H8" s="241"/>
      <c r="I8" s="241"/>
      <c r="J8" s="241"/>
      <c r="K8" s="241"/>
      <c r="L8" s="136"/>
      <c r="M8" s="235" t="s">
        <v>1960</v>
      </c>
      <c r="N8" s="236"/>
      <c r="O8" s="134"/>
      <c r="P8" s="173" t="s">
        <v>1960</v>
      </c>
      <c r="Q8" s="173" t="s">
        <v>1961</v>
      </c>
      <c r="R8" s="173" t="s">
        <v>2015</v>
      </c>
      <c r="S8" s="173" t="b">
        <f>OR($M$8=$Q$8,$P$8=$M$8,$M$8=$R$8)</f>
        <v>1</v>
      </c>
      <c r="T8" s="172"/>
      <c r="U8" s="205"/>
      <c r="V8" s="205"/>
      <c r="W8" s="205"/>
    </row>
    <row r="9" spans="1:23" ht="18.75" x14ac:dyDescent="0.3">
      <c r="E9" s="135"/>
      <c r="F9" s="135"/>
      <c r="G9" s="135"/>
      <c r="H9" s="135"/>
      <c r="I9" s="135"/>
      <c r="J9" s="135"/>
      <c r="K9" s="135"/>
      <c r="L9" s="135"/>
      <c r="M9" s="135"/>
      <c r="N9" s="135"/>
      <c r="O9" s="134"/>
      <c r="P9" s="173" t="s">
        <v>1947</v>
      </c>
      <c r="Q9" s="173" t="s">
        <v>1948</v>
      </c>
      <c r="R9" s="173" t="s">
        <v>2016</v>
      </c>
      <c r="S9" s="172"/>
      <c r="T9" s="172"/>
      <c r="U9" s="205"/>
      <c r="V9" s="205"/>
      <c r="W9" s="205"/>
    </row>
    <row r="10" spans="1:23" ht="18.75" x14ac:dyDescent="0.3">
      <c r="E10" s="135"/>
      <c r="F10" s="135"/>
      <c r="G10" s="135"/>
      <c r="H10" s="135"/>
      <c r="I10" s="237" t="str" cm="1">
        <f t="array" ref="I10">_xlfn.XLOOKUP("S1T4",INDEX(TranslationTable,0,1),_xlfn.XLOOKUP(lang,Translation!$B$1:$D$1,Translation!B2:D71),"error")</f>
        <v>Currency used:</v>
      </c>
      <c r="J10" s="237"/>
      <c r="K10" s="237"/>
      <c r="L10" s="135"/>
      <c r="M10" s="235" t="s">
        <v>754</v>
      </c>
      <c r="N10" s="236"/>
      <c r="O10" s="134" t="str">
        <f>M10</f>
        <v>CHF</v>
      </c>
      <c r="P10" s="173">
        <f>IF(currency="EUR",1,INDEX(TableEuroCurrency[],MATCH(currency,TableEuroCurrency[targetCurrency],0),10)*1)</f>
        <v>1.04109593</v>
      </c>
      <c r="Q10" s="173">
        <f>IF(currency="EUR",INDEX(TableEuroCurrency[],MATCH("CHF",TableEuroCurrency[targetCurrency],0),10),INDEX(TableEuroCurrency[],MATCH("CHF",TableEuroCurrency[targetCurrency],0),10)/INDEX(TableEuroCurrency[],MATCH(currency,TableEuroCurrency[targetCurrency],0),10))</f>
        <v>1</v>
      </c>
      <c r="R10" s="134"/>
      <c r="S10" s="172"/>
      <c r="T10" s="172"/>
      <c r="U10" s="205"/>
      <c r="V10" s="205"/>
      <c r="W10" s="205"/>
    </row>
    <row r="11" spans="1:23" ht="18.75" x14ac:dyDescent="0.3">
      <c r="E11" s="135"/>
      <c r="F11" s="135"/>
      <c r="G11" s="135"/>
      <c r="H11" s="135"/>
      <c r="I11" s="135"/>
      <c r="J11" s="135"/>
      <c r="K11" s="135"/>
      <c r="L11" s="135"/>
      <c r="M11" s="135"/>
      <c r="N11" s="135"/>
      <c r="O11" s="134"/>
      <c r="P11" s="173" t="str">
        <f>currency&amp;" in EURO"</f>
        <v>CHF in EURO</v>
      </c>
      <c r="Q11" s="173" t="str">
        <f>currency&amp;" in CHF"</f>
        <v>CHF in CHF</v>
      </c>
      <c r="R11" s="134"/>
      <c r="S11" s="172"/>
      <c r="T11" s="172"/>
      <c r="U11" s="205"/>
      <c r="V11" s="205"/>
      <c r="W11" s="205"/>
    </row>
    <row r="12" spans="1:23" ht="18.75" customHeight="1" x14ac:dyDescent="0.3">
      <c r="E12" s="237" t="str" cm="1">
        <f t="array" ref="E12">_xlfn.XLOOKUP("S1T5",INDEX(TranslationTable,0,1),_xlfn.XLOOKUP(lang,Translation!$B$1:$D$1,Translation!B2:D71),"error")</f>
        <v>Which fossil fuel is used for the boiler:</v>
      </c>
      <c r="F12" s="237"/>
      <c r="G12" s="237"/>
      <c r="H12" s="237"/>
      <c r="I12" s="237"/>
      <c r="J12" s="237"/>
      <c r="K12" s="237"/>
      <c r="L12" s="135"/>
      <c r="M12" s="235" t="s">
        <v>1953</v>
      </c>
      <c r="N12" s="236"/>
      <c r="O12" s="134"/>
      <c r="P12" s="173" t="s">
        <v>1953</v>
      </c>
      <c r="Q12" s="173" t="s">
        <v>1954</v>
      </c>
      <c r="R12" s="173" t="s">
        <v>2017</v>
      </c>
      <c r="S12" s="173" t="str">
        <f>M12</f>
        <v>natural gas</v>
      </c>
      <c r="T12" s="172"/>
      <c r="U12" s="205"/>
      <c r="V12" s="205"/>
      <c r="W12" s="205"/>
    </row>
    <row r="13" spans="1:23" ht="18.75" x14ac:dyDescent="0.3">
      <c r="K13" s="139"/>
      <c r="L13" s="139"/>
      <c r="M13" s="139"/>
      <c r="N13" s="139"/>
      <c r="O13" s="172"/>
      <c r="P13" s="173" t="s">
        <v>1952</v>
      </c>
      <c r="Q13" s="173" t="s">
        <v>1955</v>
      </c>
      <c r="R13" s="173" t="s">
        <v>2018</v>
      </c>
      <c r="S13" s="200" t="str" cm="1">
        <f t="array" ref="S13">_xlfn.XLOOKUP(fuel,IF(lang="english",choice_fuel_en,IF(lang="deutsch",choice_fuel_de,choice_fuel_fr)),choice_fuel_en)</f>
        <v>natural gas</v>
      </c>
      <c r="T13" s="172"/>
      <c r="U13" s="205"/>
      <c r="V13" s="205"/>
      <c r="W13" s="205"/>
    </row>
    <row r="14" spans="1:23" ht="18.75" x14ac:dyDescent="0.3">
      <c r="K14" s="139"/>
      <c r="L14" s="139"/>
      <c r="M14" s="139"/>
      <c r="N14" s="139"/>
      <c r="O14" s="172"/>
      <c r="P14" s="173" t="s">
        <v>1986</v>
      </c>
      <c r="Q14" s="173" t="s">
        <v>1987</v>
      </c>
      <c r="R14" s="173" t="s">
        <v>2019</v>
      </c>
      <c r="S14" s="172"/>
      <c r="T14" s="172"/>
      <c r="U14" s="205"/>
      <c r="V14" s="205"/>
      <c r="W14" s="205"/>
    </row>
    <row r="15" spans="1:23" ht="18.75" x14ac:dyDescent="0.3">
      <c r="K15" s="139"/>
      <c r="L15" s="139"/>
      <c r="M15" s="139"/>
      <c r="N15" s="139"/>
      <c r="O15" s="172"/>
      <c r="P15" s="172"/>
      <c r="Q15" s="172"/>
      <c r="R15" s="172"/>
      <c r="S15" s="172"/>
      <c r="T15" s="172"/>
      <c r="U15" s="205"/>
      <c r="V15" s="205"/>
      <c r="W15" s="205"/>
    </row>
    <row r="16" spans="1:23" ht="18.75" x14ac:dyDescent="0.3">
      <c r="K16" s="139"/>
      <c r="L16" s="139"/>
      <c r="M16" s="139"/>
      <c r="N16" s="139"/>
      <c r="O16" s="172"/>
      <c r="P16" s="172"/>
      <c r="Q16" s="172"/>
      <c r="R16" s="175"/>
      <c r="S16" s="175"/>
      <c r="T16" s="219"/>
      <c r="U16" s="207"/>
      <c r="V16" s="207"/>
      <c r="W16" s="207"/>
    </row>
    <row r="17" spans="2:23" ht="18.75" x14ac:dyDescent="0.3">
      <c r="K17" s="139"/>
      <c r="L17" s="139"/>
      <c r="M17" s="139"/>
      <c r="N17" s="139"/>
      <c r="O17" s="205"/>
      <c r="P17" s="205"/>
      <c r="Q17" s="205"/>
      <c r="R17" s="207"/>
      <c r="S17" s="207"/>
      <c r="T17" s="207"/>
      <c r="U17" s="207"/>
      <c r="V17" s="207"/>
      <c r="W17" s="207"/>
    </row>
    <row r="18" spans="2:23" ht="18.75" x14ac:dyDescent="0.3">
      <c r="K18" s="139"/>
      <c r="L18" s="139"/>
      <c r="M18" s="139"/>
      <c r="N18" s="139"/>
      <c r="O18" s="205"/>
      <c r="P18" s="205"/>
      <c r="Q18" s="205"/>
      <c r="R18" s="207"/>
      <c r="S18" s="207"/>
      <c r="T18" s="207"/>
      <c r="U18" s="207"/>
      <c r="V18" s="207"/>
      <c r="W18" s="207"/>
    </row>
    <row r="19" spans="2:23" ht="18.75" x14ac:dyDescent="0.3">
      <c r="K19" s="139"/>
      <c r="L19" s="139"/>
      <c r="M19" s="139"/>
      <c r="N19" s="139"/>
      <c r="O19" s="205"/>
      <c r="P19" s="205"/>
      <c r="Q19" s="205"/>
      <c r="R19" s="207"/>
      <c r="S19" s="207"/>
      <c r="T19" s="207"/>
      <c r="U19" s="207"/>
      <c r="V19" s="207"/>
      <c r="W19" s="207"/>
    </row>
    <row r="20" spans="2:23" ht="18.75" x14ac:dyDescent="0.3">
      <c r="K20" s="139"/>
      <c r="L20" s="139"/>
      <c r="M20" s="139"/>
      <c r="N20" s="139"/>
      <c r="O20" s="205"/>
      <c r="P20" s="205"/>
      <c r="Q20" s="205"/>
      <c r="R20" s="207"/>
      <c r="S20" s="207"/>
      <c r="T20" s="207"/>
      <c r="U20" s="207"/>
      <c r="V20" s="207"/>
      <c r="W20" s="207"/>
    </row>
    <row r="21" spans="2:23" ht="18.75" x14ac:dyDescent="0.3">
      <c r="K21" s="139"/>
      <c r="L21" s="139"/>
      <c r="M21" s="139"/>
      <c r="N21" s="139"/>
      <c r="O21" s="205"/>
      <c r="P21" s="205"/>
      <c r="Q21" s="205"/>
      <c r="R21" s="207"/>
      <c r="S21" s="207"/>
      <c r="T21" s="207"/>
      <c r="U21" s="207"/>
      <c r="V21" s="207"/>
      <c r="W21" s="207"/>
    </row>
    <row r="22" spans="2:23" ht="18.75" x14ac:dyDescent="0.3">
      <c r="K22" s="139"/>
      <c r="L22" s="139"/>
      <c r="M22" s="139"/>
      <c r="N22" s="139"/>
      <c r="O22" s="205"/>
      <c r="P22" s="205"/>
      <c r="Q22" s="205"/>
      <c r="R22" s="205"/>
      <c r="S22" s="205"/>
      <c r="T22" s="205"/>
      <c r="U22" s="205"/>
      <c r="V22" s="205"/>
      <c r="W22" s="205"/>
    </row>
    <row r="23" spans="2:23" ht="19.5" thickBot="1" x14ac:dyDescent="0.35">
      <c r="K23" s="139"/>
      <c r="L23" s="139"/>
      <c r="M23" s="141"/>
      <c r="N23" s="141"/>
      <c r="O23" s="205"/>
      <c r="P23" s="205"/>
      <c r="Q23" s="205"/>
      <c r="R23" s="205"/>
      <c r="S23" s="205"/>
      <c r="T23" s="205"/>
      <c r="U23" s="205"/>
      <c r="V23" s="205"/>
      <c r="W23" s="205"/>
    </row>
    <row r="24" spans="2:23" ht="20.25" thickTop="1" thickBot="1" x14ac:dyDescent="0.35">
      <c r="M24" s="238" t="str" cm="1">
        <f t="array" aca="1" ref="M24" ca="1">HYPERLINK(N26,_xlfn.XLOOKUP("S0T1",INDEX(TranslationTable,0,1),_xlfn.XLOOKUP(lang,Translation!$B$1:$D$1,Translation!B2:D71),"error"))</f>
        <v xml:space="preserve">          next          </v>
      </c>
      <c r="N24" s="239"/>
      <c r="O24" s="205"/>
      <c r="P24" s="205"/>
      <c r="Q24" s="205"/>
      <c r="R24" s="205"/>
      <c r="S24" s="205"/>
      <c r="T24" s="205"/>
      <c r="U24" s="205"/>
      <c r="V24" s="205"/>
      <c r="W24" s="205"/>
    </row>
    <row r="25" spans="2:23" ht="19.5" thickTop="1" x14ac:dyDescent="0.3">
      <c r="P25" s="132"/>
    </row>
    <row r="26" spans="2:23" ht="18.75" x14ac:dyDescent="0.3">
      <c r="G26" s="139"/>
      <c r="H26" s="172"/>
      <c r="I26" s="200" t="str" cm="1">
        <f t="array" aca="1" ref="I26" ca="1">CELL("dateiname",Process_info!$A$1)</f>
        <v>P:\03_Projekte\270_2021-IntSGHP\03_WP_und_Messungen_Simulationen\Excel_tool\[HeatPump_IntegrationCalculation_Example.xlsx]Process_info</v>
      </c>
      <c r="J26" s="200" t="str">
        <f ca="1">RIGHT(I26,LEN(I26)-FIND("[",I26)+1)</f>
        <v>[HeatPump_IntegrationCalculation_Example.xlsx]Process_info</v>
      </c>
      <c r="K26" s="200"/>
      <c r="L26" s="200" t="s">
        <v>1973</v>
      </c>
      <c r="M26" s="200" t="s">
        <v>1972</v>
      </c>
      <c r="N26" s="200" t="str">
        <f ca="1">J26&amp;L26&amp;M26</f>
        <v>[HeatPump_IntegrationCalculation_Example.xlsx]Process_info!G7</v>
      </c>
    </row>
    <row r="27" spans="2:23" ht="18.75" x14ac:dyDescent="0.3">
      <c r="G27" s="177"/>
      <c r="H27" s="177"/>
      <c r="I27" s="177"/>
      <c r="J27" s="177"/>
      <c r="K27" s="177"/>
      <c r="L27" s="177"/>
    </row>
    <row r="28" spans="2:23" ht="18.75" x14ac:dyDescent="0.3">
      <c r="B28" s="140" t="s">
        <v>1985</v>
      </c>
    </row>
    <row r="29" spans="2:23" ht="18.75" hidden="1" x14ac:dyDescent="0.3"/>
    <row r="30" spans="2:23" ht="18.75" hidden="1" x14ac:dyDescent="0.3"/>
    <row r="31" spans="2:23" ht="18.75" hidden="1" x14ac:dyDescent="0.3"/>
    <row r="32" spans="2:23" ht="18.75" hidden="1" x14ac:dyDescent="0.3"/>
    <row r="33" spans="1:1" ht="18.75" hidden="1" x14ac:dyDescent="0.3"/>
    <row r="34" spans="1:1" ht="18.75" hidden="1" x14ac:dyDescent="0.3"/>
    <row r="35" spans="1:1" ht="18.75" hidden="1" x14ac:dyDescent="0.3">
      <c r="A35" s="130" t="s">
        <v>1971</v>
      </c>
    </row>
  </sheetData>
  <sheetProtection algorithmName="SHA-512" hashValue="LadOc9Eo0tJmFenjc3buvzYWlDc8hyZRdLNWa3XHQ+d7idH71tV7nju3tT1RctPDKPzE45bAjk18GO77GOLbUg==" saltValue="4DetAqq7YbewH2g8oNUxKQ==" spinCount="100000" sheet="1" objects="1" scenarios="1"/>
  <mergeCells count="10">
    <mergeCell ref="M24:N24"/>
    <mergeCell ref="M5:N5"/>
    <mergeCell ref="E7:K8"/>
    <mergeCell ref="M8:N8"/>
    <mergeCell ref="E5:K5"/>
    <mergeCell ref="E2:P2"/>
    <mergeCell ref="M12:N12"/>
    <mergeCell ref="E12:K12"/>
    <mergeCell ref="I10:K10"/>
    <mergeCell ref="M10:N10"/>
  </mergeCells>
  <dataValidations count="4">
    <dataValidation type="list" allowBlank="1" showInputMessage="1" showErrorMessage="1" sqref="M5:N5" xr:uid="{A3ECCA6C-D3B0-4944-B8E0-4CD562166754}">
      <formula1>"english,deutsch,français"</formula1>
    </dataValidation>
    <dataValidation type="list" allowBlank="1" showInputMessage="1" showErrorMessage="1" sqref="M8:N8" xr:uid="{79877FC7-37B0-4535-8009-92C393CF109B}">
      <formula1>IF(lang="english",choice_system_en,IF(lang="deutsch",choice_system_de,choice_system_fr))</formula1>
    </dataValidation>
    <dataValidation type="list" allowBlank="1" showInputMessage="1" showErrorMessage="1" sqref="M10:N10" xr:uid="{D7EE2BD8-C1FA-409A-9308-2DC2075DE868}">
      <formula1>"CHF,EUR,USD"</formula1>
    </dataValidation>
    <dataValidation type="list" allowBlank="1" showInputMessage="1" showErrorMessage="1" sqref="M12:N12" xr:uid="{DC9AACB3-D08D-46B9-8500-538E6847434E}">
      <formula1>IF(lang="english",choice_fuel_en,IF(lang="deutsch",choice_fuel_de,choice_fuel_fr))</formula1>
    </dataValidation>
  </dataValidations>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36772-9501-4ABD-9E61-9620EAC4CBDE}">
  <sheetPr codeName="Tabelle7"/>
  <dimension ref="A1:A12"/>
  <sheetViews>
    <sheetView workbookViewId="0">
      <selection activeCell="C1" sqref="C1"/>
    </sheetView>
  </sheetViews>
  <sheetFormatPr baseColWidth="10" defaultRowHeight="15" x14ac:dyDescent="0.25"/>
  <cols>
    <col min="1" max="1" width="14.42578125" bestFit="1" customWidth="1"/>
  </cols>
  <sheetData>
    <row r="1" spans="1:1" x14ac:dyDescent="0.25">
      <c r="A1" t="s">
        <v>1</v>
      </c>
    </row>
    <row r="2" spans="1:1" x14ac:dyDescent="0.25">
      <c r="A2" s="1" t="s">
        <v>8</v>
      </c>
    </row>
    <row r="3" spans="1:1" x14ac:dyDescent="0.25">
      <c r="A3" s="1" t="s">
        <v>89</v>
      </c>
    </row>
    <row r="4" spans="1:1" x14ac:dyDescent="0.25">
      <c r="A4" s="1" t="s">
        <v>7</v>
      </c>
    </row>
    <row r="5" spans="1:1" x14ac:dyDescent="0.25">
      <c r="A5" s="1" t="s">
        <v>37</v>
      </c>
    </row>
    <row r="6" spans="1:1" x14ac:dyDescent="0.25">
      <c r="A6" s="1" t="s">
        <v>38</v>
      </c>
    </row>
    <row r="7" spans="1:1" x14ac:dyDescent="0.25">
      <c r="A7" s="1" t="s">
        <v>39</v>
      </c>
    </row>
    <row r="8" spans="1:1" x14ac:dyDescent="0.25">
      <c r="A8" s="1" t="s">
        <v>2</v>
      </c>
    </row>
    <row r="9" spans="1:1" x14ac:dyDescent="0.25">
      <c r="A9" s="1" t="s">
        <v>3</v>
      </c>
    </row>
    <row r="10" spans="1:1" x14ac:dyDescent="0.25">
      <c r="A10" s="1" t="s">
        <v>4</v>
      </c>
    </row>
    <row r="11" spans="1:1" x14ac:dyDescent="0.25">
      <c r="A11" s="1" t="s">
        <v>5</v>
      </c>
    </row>
    <row r="12" spans="1:1" x14ac:dyDescent="0.25">
      <c r="A12" s="1" t="s">
        <v>6</v>
      </c>
    </row>
  </sheetData>
  <pageMargins left="0.7" right="0.7" top="0.78740157499999996" bottom="0.78740157499999996"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8616F-DF84-4898-AC63-E78AD47542FF}">
  <sheetPr codeName="Tabelle11"/>
  <dimension ref="A1:Q35"/>
  <sheetViews>
    <sheetView topLeftCell="A4" zoomScaleNormal="100" workbookViewId="0">
      <selection activeCell="I10" sqref="I10"/>
    </sheetView>
  </sheetViews>
  <sheetFormatPr baseColWidth="10" defaultColWidth="9.140625" defaultRowHeight="15" x14ac:dyDescent="0.25"/>
  <cols>
    <col min="1" max="1" width="30.7109375" bestFit="1" customWidth="1"/>
    <col min="2" max="2" width="7" bestFit="1" customWidth="1"/>
    <col min="3" max="3" width="27.85546875" bestFit="1" customWidth="1"/>
    <col min="4" max="4" width="11.85546875" bestFit="1" customWidth="1"/>
    <col min="5" max="6" width="40.85546875" bestFit="1" customWidth="1"/>
    <col min="9" max="9" width="12.42578125" customWidth="1"/>
  </cols>
  <sheetData>
    <row r="1" spans="1:17" x14ac:dyDescent="0.25">
      <c r="A1" t="s">
        <v>74</v>
      </c>
    </row>
    <row r="2" spans="1:17" x14ac:dyDescent="0.25">
      <c r="A2" t="s">
        <v>51</v>
      </c>
      <c r="C2" t="s">
        <v>50</v>
      </c>
    </row>
    <row r="3" spans="1:17" x14ac:dyDescent="0.25">
      <c r="A3" t="s">
        <v>75</v>
      </c>
      <c r="C3" t="s">
        <v>51</v>
      </c>
      <c r="E3" t="s">
        <v>52</v>
      </c>
      <c r="F3" t="s">
        <v>52</v>
      </c>
      <c r="H3" t="s">
        <v>53</v>
      </c>
    </row>
    <row r="4" spans="1:17" x14ac:dyDescent="0.25">
      <c r="A4" t="s">
        <v>76</v>
      </c>
      <c r="C4" t="s">
        <v>54</v>
      </c>
      <c r="E4" t="s">
        <v>55</v>
      </c>
      <c r="F4" t="s">
        <v>56</v>
      </c>
      <c r="H4" t="s">
        <v>57</v>
      </c>
    </row>
    <row r="5" spans="1:17" x14ac:dyDescent="0.25">
      <c r="A5" t="s">
        <v>53</v>
      </c>
      <c r="C5" t="s">
        <v>58</v>
      </c>
      <c r="E5" t="s">
        <v>59</v>
      </c>
      <c r="F5" t="s">
        <v>59</v>
      </c>
      <c r="H5" t="s">
        <v>60</v>
      </c>
      <c r="N5" t="s">
        <v>61</v>
      </c>
      <c r="P5" t="s">
        <v>62</v>
      </c>
    </row>
    <row r="6" spans="1:17" x14ac:dyDescent="0.25">
      <c r="A6" t="s">
        <v>61</v>
      </c>
      <c r="B6" t="s">
        <v>63</v>
      </c>
      <c r="C6" s="125">
        <v>68.454999999999998</v>
      </c>
      <c r="D6" s="52" t="s">
        <v>64</v>
      </c>
      <c r="E6" s="125">
        <v>8.8979999999999997</v>
      </c>
      <c r="F6" s="125">
        <v>1.9117999999999999</v>
      </c>
      <c r="H6" s="52" t="s">
        <v>64</v>
      </c>
      <c r="I6" s="127">
        <v>1.9117999999999999</v>
      </c>
      <c r="N6" t="s">
        <v>65</v>
      </c>
      <c r="O6" t="s">
        <v>66</v>
      </c>
      <c r="P6" t="s">
        <v>65</v>
      </c>
      <c r="Q6" t="s">
        <v>66</v>
      </c>
    </row>
    <row r="7" spans="1:17" x14ac:dyDescent="0.25">
      <c r="A7" t="s">
        <v>62</v>
      </c>
      <c r="B7" t="s">
        <v>67</v>
      </c>
      <c r="C7" s="125">
        <v>-0.76</v>
      </c>
      <c r="D7" s="52" t="s">
        <v>68</v>
      </c>
      <c r="E7" s="125">
        <v>4.2214000000000002E-2</v>
      </c>
      <c r="F7" s="125">
        <v>4.4188999999999999E-2</v>
      </c>
      <c r="H7" s="52" t="s">
        <v>68</v>
      </c>
      <c r="I7" s="127">
        <v>-0.89093999999999995</v>
      </c>
      <c r="N7">
        <v>38.235294117647001</v>
      </c>
      <c r="O7">
        <v>3.9983623246138098</v>
      </c>
      <c r="P7">
        <v>64.705882352941103</v>
      </c>
      <c r="Q7">
        <v>2.8378258752711001</v>
      </c>
    </row>
    <row r="8" spans="1:17" x14ac:dyDescent="0.25">
      <c r="D8" s="52" t="s">
        <v>69</v>
      </c>
      <c r="E8" s="125">
        <v>-0.52137</v>
      </c>
      <c r="F8" s="125">
        <v>-0.89093999999999995</v>
      </c>
      <c r="H8" s="52" t="s">
        <v>69</v>
      </c>
      <c r="I8" s="127">
        <v>0.67895000000000005</v>
      </c>
      <c r="N8">
        <v>39.2156862745098</v>
      </c>
      <c r="O8">
        <v>3.9194293217663301</v>
      </c>
      <c r="P8">
        <v>74.019607843137194</v>
      </c>
      <c r="Q8">
        <v>2.66922645657209</v>
      </c>
    </row>
    <row r="9" spans="1:17" x14ac:dyDescent="0.25">
      <c r="D9" s="52" t="s">
        <v>70</v>
      </c>
      <c r="E9" s="125">
        <v>0.16395000000000001</v>
      </c>
      <c r="F9" s="125">
        <v>0.67895000000000005</v>
      </c>
      <c r="H9" s="52" t="s">
        <v>71</v>
      </c>
      <c r="I9" s="127">
        <v>4.4188999999999999E-2</v>
      </c>
      <c r="N9">
        <v>41.421568627450903</v>
      </c>
      <c r="O9">
        <v>3.7615817583617299</v>
      </c>
      <c r="P9">
        <v>74.509803921568604</v>
      </c>
      <c r="Q9">
        <v>2.5112497971347998</v>
      </c>
    </row>
    <row r="10" spans="1:17" x14ac:dyDescent="0.25">
      <c r="D10" s="52" t="s">
        <v>72</v>
      </c>
      <c r="E10">
        <v>400</v>
      </c>
      <c r="F10">
        <v>403.15</v>
      </c>
      <c r="H10" s="52" t="s">
        <v>73</v>
      </c>
      <c r="I10">
        <f>130+273.15</f>
        <v>403.15</v>
      </c>
      <c r="N10">
        <v>43.137254901960802</v>
      </c>
      <c r="O10">
        <v>3.5924106286607902</v>
      </c>
      <c r="P10">
        <v>81.862745098039198</v>
      </c>
      <c r="Q10">
        <v>2.5795231561398002</v>
      </c>
    </row>
    <row r="11" spans="1:17" x14ac:dyDescent="0.25">
      <c r="N11">
        <v>48.039215686274503</v>
      </c>
      <c r="O11">
        <v>3.2767523864323702</v>
      </c>
      <c r="P11">
        <v>83.823529411764696</v>
      </c>
      <c r="Q11">
        <v>2.4216571504448199</v>
      </c>
    </row>
    <row r="12" spans="1:17" x14ac:dyDescent="0.25">
      <c r="B12" t="s">
        <v>65</v>
      </c>
      <c r="C12" t="s">
        <v>66</v>
      </c>
      <c r="E12" t="s">
        <v>66</v>
      </c>
      <c r="N12">
        <v>49.264705882352899</v>
      </c>
      <c r="O12">
        <v>3.2091245075908401</v>
      </c>
      <c r="P12">
        <v>83.823529411764696</v>
      </c>
      <c r="Q12">
        <v>2.24107024299561</v>
      </c>
    </row>
    <row r="13" spans="1:17" x14ac:dyDescent="0.25">
      <c r="B13">
        <v>10</v>
      </c>
      <c r="C13" s="56">
        <f>$C$6*B13^$C$7</f>
        <v>11.896115573203845</v>
      </c>
      <c r="E13" s="56">
        <f>$E$6*(B13+2*$E$7)^$E$8*($E$10+$E$7)^$E$9</f>
        <v>7.1225251025518412</v>
      </c>
      <c r="F13" s="56">
        <f>$F$6*(B13+2*$F$7)^$F$8*($F$10+$F$7)^$F$9</f>
        <v>14.325565563763988</v>
      </c>
      <c r="G13" s="56"/>
      <c r="H13" s="56"/>
      <c r="I13" s="56">
        <f>$I$6*(B13+2*$I$9)^$I$7*($I$10+$I$9)^$I$8</f>
        <v>14.325565563763988</v>
      </c>
      <c r="N13">
        <v>50.245098039215598</v>
      </c>
      <c r="O13">
        <v>3.1189048230277798</v>
      </c>
      <c r="P13">
        <v>92.156862745097996</v>
      </c>
      <c r="Q13">
        <v>2.2529839625842798</v>
      </c>
    </row>
    <row r="14" spans="1:17" x14ac:dyDescent="0.25">
      <c r="B14">
        <v>15</v>
      </c>
      <c r="C14" s="56">
        <f t="shared" ref="C14:C31" si="0">$C$6*B14^$C$7</f>
        <v>8.7412958236066274</v>
      </c>
      <c r="E14" s="56">
        <f t="shared" ref="E14:E31" si="1">$E$6*(B14+2*$E$7)^$E$8*($E$10+$E$7)^$E$9</f>
        <v>5.7737512104091087</v>
      </c>
      <c r="F14" s="56">
        <f t="shared" ref="F14:F31" si="2">$F$6*(B14+2*$F$7)^$F$8*($F$10+$F$7)^$F$9</f>
        <v>10.008213663516965</v>
      </c>
      <c r="I14" s="56">
        <f t="shared" ref="I14:I31" si="3">$I$6*(B14+2*$I$9)^$I$7*($I$10+$I$9)^$I$8</f>
        <v>10.008213663516965</v>
      </c>
      <c r="N14">
        <v>57.843137254901897</v>
      </c>
      <c r="O14">
        <v>2.7808760825624401</v>
      </c>
      <c r="P14">
        <v>95.0980392156862</v>
      </c>
      <c r="Q14">
        <v>2.28706531521562</v>
      </c>
    </row>
    <row r="15" spans="1:17" x14ac:dyDescent="0.25">
      <c r="B15">
        <v>20</v>
      </c>
      <c r="C15" s="56">
        <f t="shared" si="0"/>
        <v>7.0246125957356513</v>
      </c>
      <c r="E15" s="56">
        <f t="shared" si="1"/>
        <v>4.9731986870068363</v>
      </c>
      <c r="F15" s="126">
        <f>$F$6*(B15+2*$F$7)^$F$8*($F$10+$F$7)^$F$9</f>
        <v>7.7555153699721329</v>
      </c>
      <c r="I15" s="126">
        <f>$I$6*(B15+2*$I$9)^$I$7*($I$10+$I$9)^$I$8</f>
        <v>7.7555153699721329</v>
      </c>
      <c r="N15">
        <v>58.823529411764703</v>
      </c>
      <c r="O15">
        <v>2.7358031248616799</v>
      </c>
      <c r="P15">
        <v>95.343137254901904</v>
      </c>
      <c r="Q15">
        <v>2.12907021348795</v>
      </c>
    </row>
    <row r="16" spans="1:17" x14ac:dyDescent="0.25">
      <c r="B16">
        <v>25</v>
      </c>
      <c r="C16" s="56">
        <f t="shared" si="0"/>
        <v>5.928854168911708</v>
      </c>
      <c r="E16" s="56">
        <f t="shared" si="1"/>
        <v>4.4289449480732506</v>
      </c>
      <c r="F16" s="56">
        <f>$F$6*(B16+2*$F$7)^$F$8*($F$10+$F$7)^$F$9</f>
        <v>6.3622431468780611</v>
      </c>
      <c r="I16" s="56">
        <f t="shared" si="3"/>
        <v>6.3622431468780611</v>
      </c>
      <c r="N16">
        <v>59.803921568627402</v>
      </c>
      <c r="O16">
        <v>2.6568701220141899</v>
      </c>
      <c r="P16">
        <v>102.941176470588</v>
      </c>
      <c r="Q16">
        <v>2.01677510733413</v>
      </c>
    </row>
    <row r="17" spans="2:17" x14ac:dyDescent="0.25">
      <c r="B17">
        <v>30</v>
      </c>
      <c r="C17" s="56">
        <f t="shared" si="0"/>
        <v>5.1617031095320156</v>
      </c>
      <c r="E17" s="56">
        <f t="shared" si="1"/>
        <v>4.0285115049820153</v>
      </c>
      <c r="F17" s="56">
        <f t="shared" si="2"/>
        <v>5.4111772628133252</v>
      </c>
      <c r="I17" s="56">
        <f t="shared" si="3"/>
        <v>5.4111772628133252</v>
      </c>
      <c r="N17">
        <v>69.117647058823493</v>
      </c>
      <c r="O17">
        <v>2.1722436152790601</v>
      </c>
      <c r="P17">
        <v>105.14705882352899</v>
      </c>
      <c r="Q17">
        <v>1.99436772451644</v>
      </c>
    </row>
    <row r="18" spans="2:17" x14ac:dyDescent="0.25">
      <c r="B18">
        <v>35</v>
      </c>
      <c r="C18" s="56">
        <f t="shared" si="0"/>
        <v>4.5910652068340152</v>
      </c>
      <c r="E18" s="56">
        <f t="shared" si="1"/>
        <v>3.7181880952371706</v>
      </c>
      <c r="F18" s="56">
        <f t="shared" si="2"/>
        <v>4.7185502323599851</v>
      </c>
      <c r="I18" s="56">
        <f t="shared" si="3"/>
        <v>4.7185502323599851</v>
      </c>
      <c r="P18">
        <v>105.88235294117599</v>
      </c>
      <c r="Q18">
        <v>2.0734298233966202</v>
      </c>
    </row>
    <row r="19" spans="2:17" x14ac:dyDescent="0.25">
      <c r="B19">
        <v>40</v>
      </c>
      <c r="C19" s="56">
        <f t="shared" si="0"/>
        <v>4.1480079624746224</v>
      </c>
      <c r="E19" s="56">
        <f t="shared" si="1"/>
        <v>3.4686798313791032</v>
      </c>
      <c r="F19" s="56">
        <f t="shared" si="2"/>
        <v>4.1904733028526415</v>
      </c>
      <c r="I19" s="56">
        <f t="shared" si="3"/>
        <v>4.1904733028526415</v>
      </c>
      <c r="P19">
        <v>112.00980392156799</v>
      </c>
      <c r="Q19">
        <v>1.6449969754643701</v>
      </c>
    </row>
    <row r="20" spans="2:17" x14ac:dyDescent="0.25">
      <c r="B20">
        <v>45</v>
      </c>
      <c r="C20" s="56">
        <f t="shared" si="0"/>
        <v>3.7928325054005763</v>
      </c>
      <c r="E20" s="56">
        <f t="shared" si="1"/>
        <v>3.2624797241489216</v>
      </c>
      <c r="F20" s="56">
        <f t="shared" si="2"/>
        <v>3.7738448476145923</v>
      </c>
      <c r="I20" s="56">
        <f t="shared" si="3"/>
        <v>3.7738448476145923</v>
      </c>
      <c r="P20">
        <v>114.705882352941</v>
      </c>
      <c r="Q20">
        <v>1.80321338467667</v>
      </c>
    </row>
    <row r="21" spans="2:17" x14ac:dyDescent="0.25">
      <c r="B21">
        <v>50</v>
      </c>
      <c r="C21" s="56">
        <f t="shared" si="0"/>
        <v>3.5009666320853023</v>
      </c>
      <c r="E21" s="56">
        <f t="shared" si="1"/>
        <v>3.0884007182112909</v>
      </c>
      <c r="F21" s="56">
        <f t="shared" si="2"/>
        <v>3.4363129792207197</v>
      </c>
      <c r="I21" s="56">
        <f t="shared" si="3"/>
        <v>3.4363129792207197</v>
      </c>
      <c r="P21">
        <v>115.686274509803</v>
      </c>
      <c r="Q21">
        <v>1.8258605172693601</v>
      </c>
    </row>
    <row r="22" spans="2:17" x14ac:dyDescent="0.25">
      <c r="B22">
        <v>55</v>
      </c>
      <c r="C22" s="56">
        <f t="shared" si="0"/>
        <v>3.2563384011895073</v>
      </c>
      <c r="E22" s="56">
        <f t="shared" si="1"/>
        <v>2.9389178222150996</v>
      </c>
      <c r="F22" s="56">
        <f t="shared" si="2"/>
        <v>3.1570130972540413</v>
      </c>
      <c r="I22" s="56">
        <f t="shared" si="3"/>
        <v>3.1570130972540413</v>
      </c>
      <c r="P22">
        <v>125.24509803921499</v>
      </c>
      <c r="Q22">
        <v>1.49926599684268</v>
      </c>
    </row>
    <row r="23" spans="2:17" x14ac:dyDescent="0.25">
      <c r="B23">
        <v>60</v>
      </c>
      <c r="C23" s="56">
        <f t="shared" si="0"/>
        <v>3.0479667464176496</v>
      </c>
      <c r="E23" s="56">
        <f t="shared" si="1"/>
        <v>2.8087594264119473</v>
      </c>
      <c r="F23" s="56">
        <f t="shared" si="2"/>
        <v>2.9218692361070207</v>
      </c>
      <c r="I23" s="56">
        <f t="shared" si="3"/>
        <v>2.9218692361070207</v>
      </c>
    </row>
    <row r="24" spans="2:17" x14ac:dyDescent="0.25">
      <c r="B24">
        <v>65</v>
      </c>
      <c r="C24" s="56">
        <f t="shared" si="0"/>
        <v>2.8680784329213895</v>
      </c>
      <c r="E24" s="56">
        <f t="shared" si="1"/>
        <v>2.6941086067126534</v>
      </c>
      <c r="F24" s="56">
        <f t="shared" si="2"/>
        <v>2.7210317171050611</v>
      </c>
      <c r="I24" s="56">
        <f t="shared" si="3"/>
        <v>2.7210317171050611</v>
      </c>
    </row>
    <row r="25" spans="2:17" x14ac:dyDescent="0.25">
      <c r="B25">
        <v>70</v>
      </c>
      <c r="C25" s="56">
        <f t="shared" si="0"/>
        <v>2.7110071587077096</v>
      </c>
      <c r="E25" s="56">
        <f t="shared" si="1"/>
        <v>2.5921250688496658</v>
      </c>
      <c r="F25" s="56">
        <f t="shared" si="2"/>
        <v>2.5473962856002306</v>
      </c>
      <c r="I25" s="56">
        <f t="shared" si="3"/>
        <v>2.5473962856002306</v>
      </c>
    </row>
    <row r="26" spans="2:17" x14ac:dyDescent="0.25">
      <c r="B26">
        <v>75</v>
      </c>
      <c r="C26" s="56">
        <f t="shared" si="0"/>
        <v>2.5725191396565648</v>
      </c>
      <c r="E26" s="56">
        <f t="shared" si="1"/>
        <v>2.5006459764814912</v>
      </c>
      <c r="F26" s="56">
        <f t="shared" si="2"/>
        <v>2.3957064659742908</v>
      </c>
      <c r="I26" s="56">
        <f t="shared" si="3"/>
        <v>2.3957064659742908</v>
      </c>
    </row>
    <row r="27" spans="2:17" x14ac:dyDescent="0.25">
      <c r="B27">
        <v>80</v>
      </c>
      <c r="C27" s="56">
        <f t="shared" si="0"/>
        <v>2.4493834816168953</v>
      </c>
      <c r="E27" s="56">
        <f t="shared" si="1"/>
        <v>2.4179916096218852</v>
      </c>
      <c r="F27" s="56">
        <f t="shared" si="2"/>
        <v>2.2619872795248233</v>
      </c>
      <c r="I27" s="56">
        <f t="shared" si="3"/>
        <v>2.2619872795248233</v>
      </c>
    </row>
    <row r="28" spans="2:17" x14ac:dyDescent="0.25">
      <c r="B28">
        <v>85</v>
      </c>
      <c r="C28" s="56">
        <f t="shared" si="0"/>
        <v>2.3390892405192409</v>
      </c>
      <c r="E28" s="56">
        <f t="shared" si="1"/>
        <v>2.3428350512073801</v>
      </c>
      <c r="F28" s="56">
        <f t="shared" si="2"/>
        <v>2.1431756726576783</v>
      </c>
      <c r="I28" s="56">
        <f t="shared" si="3"/>
        <v>2.1431756726576783</v>
      </c>
    </row>
    <row r="29" spans="2:17" x14ac:dyDescent="0.25">
      <c r="B29">
        <v>90</v>
      </c>
      <c r="C29" s="56">
        <f t="shared" si="0"/>
        <v>2.2396536774547293</v>
      </c>
      <c r="E29" s="56">
        <f t="shared" si="1"/>
        <v>2.2741123864547323</v>
      </c>
      <c r="F29" s="56">
        <f t="shared" si="2"/>
        <v>2.0368721731379811</v>
      </c>
      <c r="I29" s="56">
        <f t="shared" si="3"/>
        <v>2.0368721731379811</v>
      </c>
    </row>
    <row r="30" spans="2:17" x14ac:dyDescent="0.25">
      <c r="B30">
        <v>95</v>
      </c>
      <c r="C30" s="56">
        <f t="shared" si="0"/>
        <v>2.1494890386851755</v>
      </c>
      <c r="E30" s="56">
        <f t="shared" si="1"/>
        <v>2.210959330363349</v>
      </c>
      <c r="F30" s="56">
        <f t="shared" si="2"/>
        <v>1.9411697109209656</v>
      </c>
      <c r="I30" s="56">
        <f t="shared" si="3"/>
        <v>1.9411697109209656</v>
      </c>
    </row>
    <row r="31" spans="2:17" x14ac:dyDescent="0.25">
      <c r="B31">
        <v>100</v>
      </c>
      <c r="C31" s="56">
        <f t="shared" si="0"/>
        <v>2.0673079502011991</v>
      </c>
      <c r="E31" s="56">
        <f t="shared" si="1"/>
        <v>2.1526655609418461</v>
      </c>
      <c r="F31" s="56">
        <f t="shared" si="2"/>
        <v>1.85453296178023</v>
      </c>
      <c r="I31" s="56">
        <f t="shared" si="3"/>
        <v>1.85453296178023</v>
      </c>
    </row>
    <row r="32" spans="2:17" x14ac:dyDescent="0.25">
      <c r="C32" s="56"/>
      <c r="E32" s="56"/>
      <c r="F32" s="56"/>
      <c r="I32" s="56"/>
    </row>
    <row r="33" spans="3:9" x14ac:dyDescent="0.25">
      <c r="C33" s="56"/>
      <c r="E33" s="56"/>
      <c r="F33" s="56"/>
      <c r="I33" s="56"/>
    </row>
    <row r="34" spans="3:9" x14ac:dyDescent="0.25">
      <c r="C34" s="56"/>
      <c r="E34" s="56"/>
      <c r="F34" s="56"/>
      <c r="I34" s="56"/>
    </row>
    <row r="35" spans="3:9" x14ac:dyDescent="0.25">
      <c r="C35" s="56"/>
      <c r="E35" s="56"/>
      <c r="F35" s="56"/>
      <c r="I35" s="56"/>
    </row>
  </sheetData>
  <pageMargins left="0.7" right="0.7" top="0.78740157499999996" bottom="0.78740157499999996"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0695F-A524-4B2B-9AF3-1CED98A61651}">
  <sheetPr codeName="Tabelle16"/>
  <dimension ref="A1:AC251"/>
  <sheetViews>
    <sheetView zoomScaleNormal="100" workbookViewId="0">
      <selection activeCell="C1" sqref="C1"/>
    </sheetView>
  </sheetViews>
  <sheetFormatPr baseColWidth="10" defaultRowHeight="15" x14ac:dyDescent="0.25"/>
  <cols>
    <col min="1" max="1" width="9" bestFit="1" customWidth="1"/>
    <col min="2" max="2" width="21.42578125" customWidth="1"/>
    <col min="3" max="3" width="18.140625" customWidth="1"/>
    <col min="4" max="4" width="32.28515625" customWidth="1"/>
    <col min="5" max="5" width="26.28515625" customWidth="1"/>
    <col min="6" max="6" width="34.7109375" bestFit="1" customWidth="1"/>
    <col min="7" max="7" width="20.140625" bestFit="1" customWidth="1"/>
    <col min="8" max="8" width="31.28515625" bestFit="1" customWidth="1"/>
    <col min="9" max="9" width="26.7109375" style="117" bestFit="1" customWidth="1"/>
    <col min="10" max="10" width="33.42578125" style="106" bestFit="1" customWidth="1"/>
    <col min="11" max="12" width="33.42578125" style="106" customWidth="1"/>
    <col min="13" max="13" width="18.5703125" style="113" bestFit="1" customWidth="1"/>
    <col min="14" max="14" width="22" style="113" bestFit="1" customWidth="1"/>
    <col min="15" max="18" width="13.7109375" style="113" customWidth="1"/>
    <col min="23" max="25" width="12" bestFit="1" customWidth="1"/>
    <col min="27" max="27" width="15.5703125" customWidth="1"/>
    <col min="28" max="28" width="14.85546875" bestFit="1" customWidth="1"/>
    <col min="29" max="29" width="13.28515625" customWidth="1"/>
  </cols>
  <sheetData>
    <row r="1" spans="1:23" x14ac:dyDescent="0.25">
      <c r="A1" s="96" t="s">
        <v>107</v>
      </c>
      <c r="B1" s="96" t="s">
        <v>712</v>
      </c>
      <c r="C1" s="96" t="s">
        <v>707</v>
      </c>
      <c r="D1" s="96" t="s">
        <v>125</v>
      </c>
      <c r="E1" s="96" t="s">
        <v>126</v>
      </c>
      <c r="F1" s="96" t="s">
        <v>127</v>
      </c>
      <c r="G1" s="96" t="s">
        <v>706</v>
      </c>
      <c r="H1" s="96" t="s">
        <v>708</v>
      </c>
      <c r="I1" s="116" t="s">
        <v>719</v>
      </c>
      <c r="J1" s="96" t="s">
        <v>720</v>
      </c>
      <c r="K1" s="96" t="s">
        <v>1189</v>
      </c>
      <c r="L1" s="96" t="s">
        <v>1190</v>
      </c>
      <c r="M1" s="96" t="s">
        <v>1184</v>
      </c>
      <c r="N1" s="96" t="s">
        <v>1185</v>
      </c>
      <c r="O1" s="122"/>
      <c r="P1" s="122"/>
      <c r="Q1" s="122"/>
      <c r="R1" s="122"/>
      <c r="V1" s="115"/>
    </row>
    <row r="2" spans="1:23" x14ac:dyDescent="0.25">
      <c r="A2" t="s">
        <v>222</v>
      </c>
      <c r="B2" t="s">
        <v>669</v>
      </c>
      <c r="C2">
        <v>2020</v>
      </c>
      <c r="D2" s="53">
        <v>8.2400000000000001E-2</v>
      </c>
      <c r="E2" s="55">
        <v>0.1812070576</v>
      </c>
      <c r="F2" s="55">
        <v>0.24978033992000001</v>
      </c>
      <c r="G2" s="114">
        <v>2020</v>
      </c>
      <c r="H2" s="55">
        <v>8.77E-2</v>
      </c>
      <c r="I2" s="114">
        <v>2020</v>
      </c>
      <c r="J2">
        <v>6.7652000000000001</v>
      </c>
      <c r="K2"/>
      <c r="L2"/>
      <c r="M2" s="114"/>
      <c r="N2" s="55"/>
      <c r="O2" s="55"/>
      <c r="P2" s="55"/>
      <c r="Q2" s="55"/>
      <c r="R2" s="55"/>
      <c r="S2" s="55"/>
      <c r="T2" s="55"/>
      <c r="U2" s="55"/>
      <c r="V2" s="55"/>
      <c r="W2" s="54"/>
    </row>
    <row r="3" spans="1:23" x14ac:dyDescent="0.25">
      <c r="A3" t="s">
        <v>248</v>
      </c>
      <c r="B3" t="s">
        <v>727</v>
      </c>
      <c r="C3" t="s">
        <v>727</v>
      </c>
      <c r="D3" t="s">
        <v>727</v>
      </c>
      <c r="E3" t="s">
        <v>727</v>
      </c>
      <c r="F3" t="s">
        <v>727</v>
      </c>
      <c r="G3" t="s">
        <v>727</v>
      </c>
      <c r="H3" t="s">
        <v>727</v>
      </c>
      <c r="I3" s="114">
        <v>2020</v>
      </c>
      <c r="J3" s="55">
        <v>11.0284</v>
      </c>
      <c r="K3" s="55"/>
      <c r="L3" s="55"/>
      <c r="M3" s="114"/>
      <c r="N3" s="55"/>
      <c r="O3" s="55"/>
      <c r="P3" s="55"/>
      <c r="Q3" s="55"/>
      <c r="R3" s="55"/>
      <c r="S3" s="55"/>
      <c r="T3" s="55"/>
      <c r="U3" s="55"/>
      <c r="V3" s="55"/>
      <c r="W3" s="54"/>
    </row>
    <row r="4" spans="1:23" x14ac:dyDescent="0.25">
      <c r="A4" t="s">
        <v>235</v>
      </c>
      <c r="B4" t="s">
        <v>670</v>
      </c>
      <c r="C4">
        <v>2020</v>
      </c>
      <c r="D4" s="53">
        <v>0.161</v>
      </c>
      <c r="E4" s="55">
        <v>0.1812070576</v>
      </c>
      <c r="F4" s="55">
        <v>0.24978033992000001</v>
      </c>
      <c r="G4" s="114">
        <v>2020</v>
      </c>
      <c r="H4" s="55">
        <v>7.9500000000000001E-2</v>
      </c>
      <c r="I4" s="114">
        <v>2020</v>
      </c>
      <c r="J4">
        <v>5.3556999999999997</v>
      </c>
      <c r="K4"/>
      <c r="L4"/>
      <c r="M4" s="114"/>
      <c r="N4" s="55"/>
      <c r="O4" s="55"/>
      <c r="P4" s="55"/>
      <c r="Q4" s="55"/>
      <c r="R4" s="55"/>
      <c r="S4" s="55"/>
      <c r="T4" s="55"/>
      <c r="U4" s="55"/>
      <c r="V4" s="55"/>
      <c r="W4" s="54"/>
    </row>
    <row r="5" spans="1:23" x14ac:dyDescent="0.25">
      <c r="A5" t="s">
        <v>260</v>
      </c>
      <c r="B5" t="s">
        <v>671</v>
      </c>
      <c r="C5">
        <v>2020</v>
      </c>
      <c r="D5" s="53">
        <v>0.41039999999999999</v>
      </c>
      <c r="E5" s="55">
        <v>0.1812070576</v>
      </c>
      <c r="F5" s="55">
        <v>0.24978033992000001</v>
      </c>
      <c r="G5" s="114">
        <v>2020</v>
      </c>
      <c r="H5" s="55">
        <v>8.0500000000000002E-2</v>
      </c>
      <c r="I5" s="114">
        <v>2020</v>
      </c>
      <c r="J5">
        <v>6.1498999999999997</v>
      </c>
      <c r="K5"/>
      <c r="L5"/>
      <c r="M5" s="114"/>
      <c r="N5" s="55"/>
      <c r="O5" s="55"/>
      <c r="P5" s="55"/>
      <c r="Q5" s="55"/>
      <c r="R5" s="55"/>
      <c r="S5" s="55"/>
      <c r="T5" s="55"/>
      <c r="U5" s="55"/>
      <c r="V5" s="55"/>
    </row>
    <row r="6" spans="1:23" x14ac:dyDescent="0.25">
      <c r="A6" t="s">
        <v>600</v>
      </c>
      <c r="B6" t="s">
        <v>113</v>
      </c>
      <c r="C6">
        <v>2018</v>
      </c>
      <c r="D6" s="53">
        <v>1.5699999999999999E-2</v>
      </c>
      <c r="E6" s="55">
        <v>0.1812070576</v>
      </c>
      <c r="F6" s="55">
        <v>0.24978033992000001</v>
      </c>
      <c r="G6" t="s">
        <v>727</v>
      </c>
      <c r="H6" t="s">
        <v>727</v>
      </c>
      <c r="I6" t="s">
        <v>727</v>
      </c>
      <c r="J6" t="s">
        <v>727</v>
      </c>
      <c r="K6"/>
      <c r="L6"/>
      <c r="M6" s="114">
        <v>2021</v>
      </c>
      <c r="N6" s="55">
        <v>8.9904985838576618E-2</v>
      </c>
      <c r="O6" s="55"/>
      <c r="P6" s="55"/>
      <c r="Q6" s="55"/>
      <c r="R6" s="55"/>
      <c r="S6" s="55"/>
      <c r="T6" s="55"/>
      <c r="U6" s="55"/>
      <c r="V6" s="55"/>
    </row>
    <row r="7" spans="1:23" x14ac:dyDescent="0.25">
      <c r="A7" t="s">
        <v>600</v>
      </c>
      <c r="B7" t="s">
        <v>114</v>
      </c>
      <c r="C7">
        <v>2018</v>
      </c>
      <c r="D7" s="53">
        <v>2.9600000000000001E-2</v>
      </c>
      <c r="E7" s="55">
        <v>0.1812070576</v>
      </c>
      <c r="F7" s="55">
        <v>0.24978033992000001</v>
      </c>
      <c r="G7" t="s">
        <v>727</v>
      </c>
      <c r="H7" t="s">
        <v>727</v>
      </c>
      <c r="I7" t="s">
        <v>727</v>
      </c>
      <c r="J7" t="s">
        <v>727</v>
      </c>
      <c r="K7"/>
      <c r="L7"/>
      <c r="M7" s="114">
        <v>2021</v>
      </c>
      <c r="N7" s="55">
        <v>8.9904985838576618E-2</v>
      </c>
      <c r="O7" s="55"/>
      <c r="P7" s="55"/>
      <c r="Q7" s="55"/>
      <c r="R7" s="55"/>
      <c r="S7" s="55"/>
      <c r="T7" s="55"/>
      <c r="U7" s="55"/>
      <c r="V7" s="55"/>
    </row>
    <row r="8" spans="1:23" x14ac:dyDescent="0.25">
      <c r="A8" t="s">
        <v>600</v>
      </c>
      <c r="B8" t="s">
        <v>115</v>
      </c>
      <c r="C8">
        <v>2018</v>
      </c>
      <c r="D8" s="53">
        <v>5.4700000000000006E-2</v>
      </c>
      <c r="E8" s="55">
        <v>0.1812070576</v>
      </c>
      <c r="F8" s="55">
        <v>0.24978033992000001</v>
      </c>
      <c r="G8" t="s">
        <v>727</v>
      </c>
      <c r="H8" t="s">
        <v>727</v>
      </c>
      <c r="I8" t="s">
        <v>727</v>
      </c>
      <c r="J8" t="s">
        <v>727</v>
      </c>
      <c r="K8"/>
      <c r="L8"/>
      <c r="M8" s="114">
        <v>2021</v>
      </c>
      <c r="N8" s="55">
        <v>8.9904985838576618E-2</v>
      </c>
      <c r="O8" s="55"/>
      <c r="P8" s="55"/>
      <c r="Q8" s="55"/>
      <c r="R8" s="55"/>
      <c r="S8" s="55"/>
      <c r="T8" s="55"/>
      <c r="U8" s="55"/>
      <c r="V8" s="55"/>
    </row>
    <row r="9" spans="1:23" x14ac:dyDescent="0.25">
      <c r="A9" t="s">
        <v>600</v>
      </c>
      <c r="B9" t="s">
        <v>116</v>
      </c>
      <c r="C9">
        <v>2018</v>
      </c>
      <c r="D9" s="53">
        <v>0.128</v>
      </c>
      <c r="E9" s="55">
        <v>0.1812070576</v>
      </c>
      <c r="F9" s="55">
        <v>0.24978033992000001</v>
      </c>
      <c r="G9" t="s">
        <v>727</v>
      </c>
      <c r="H9" t="s">
        <v>727</v>
      </c>
      <c r="I9" t="s">
        <v>727</v>
      </c>
      <c r="J9" t="s">
        <v>727</v>
      </c>
      <c r="K9"/>
      <c r="L9"/>
      <c r="M9" s="114">
        <v>2021</v>
      </c>
      <c r="N9" s="55">
        <v>8.9904985838576618E-2</v>
      </c>
      <c r="O9" s="55"/>
      <c r="P9" s="55"/>
      <c r="Q9" s="55"/>
      <c r="R9" s="55"/>
      <c r="S9" s="55"/>
      <c r="T9" s="55"/>
      <c r="U9" s="55"/>
      <c r="V9" s="55"/>
    </row>
    <row r="10" spans="1:23" x14ac:dyDescent="0.25">
      <c r="A10" t="s">
        <v>306</v>
      </c>
      <c r="B10" t="s">
        <v>673</v>
      </c>
      <c r="C10">
        <v>2020</v>
      </c>
      <c r="D10" s="53">
        <v>0.62090000000000001</v>
      </c>
      <c r="E10" s="55">
        <v>0.1812070576</v>
      </c>
      <c r="F10" s="55">
        <v>0.24978033992000001</v>
      </c>
      <c r="G10" s="114">
        <v>2020</v>
      </c>
      <c r="H10" s="55">
        <v>0.1178</v>
      </c>
      <c r="I10" s="114" t="s">
        <v>727</v>
      </c>
      <c r="J10" s="55" t="s">
        <v>727</v>
      </c>
      <c r="K10" s="55"/>
      <c r="L10" s="55"/>
      <c r="M10" s="114"/>
      <c r="N10" s="55"/>
      <c r="O10" s="55"/>
      <c r="P10" s="55"/>
      <c r="Q10" s="55"/>
      <c r="R10" s="55"/>
      <c r="S10" s="55"/>
      <c r="T10" s="55"/>
      <c r="U10" s="55"/>
      <c r="V10" s="55"/>
    </row>
    <row r="11" spans="1:23" x14ac:dyDescent="0.25">
      <c r="A11" t="s">
        <v>307</v>
      </c>
      <c r="B11" t="s">
        <v>674</v>
      </c>
      <c r="C11">
        <v>2020</v>
      </c>
      <c r="D11" s="53">
        <v>0.43660000000000004</v>
      </c>
      <c r="E11" s="55">
        <v>0.1812070576</v>
      </c>
      <c r="F11" s="55">
        <v>0.24978033992000001</v>
      </c>
      <c r="G11" s="114">
        <v>2020</v>
      </c>
      <c r="H11" s="55">
        <v>7.1599999999999997E-2</v>
      </c>
      <c r="I11" s="114">
        <v>2020</v>
      </c>
      <c r="J11">
        <v>6.6982999999999997</v>
      </c>
      <c r="K11"/>
      <c r="L11"/>
      <c r="M11" s="114"/>
      <c r="N11" s="55"/>
      <c r="O11" s="55"/>
      <c r="P11" s="55"/>
      <c r="Q11" s="55"/>
      <c r="R11" s="55"/>
      <c r="S11" s="55"/>
      <c r="T11" s="55"/>
      <c r="U11" s="55"/>
      <c r="V11" s="55"/>
    </row>
    <row r="12" spans="1:23" x14ac:dyDescent="0.25">
      <c r="A12" t="s">
        <v>348</v>
      </c>
      <c r="B12" t="s">
        <v>140</v>
      </c>
      <c r="C12">
        <v>2020</v>
      </c>
      <c r="D12" s="53">
        <v>0.311</v>
      </c>
      <c r="E12" s="55">
        <v>0.1812070576</v>
      </c>
      <c r="F12" s="55">
        <v>0.24978033992000001</v>
      </c>
      <c r="G12" s="114">
        <v>2020</v>
      </c>
      <c r="H12" s="55">
        <v>8.4900000000000003E-2</v>
      </c>
      <c r="I12" s="114">
        <v>2020</v>
      </c>
      <c r="J12">
        <v>6.8036000000000003</v>
      </c>
      <c r="K12"/>
      <c r="L12"/>
      <c r="M12" s="114"/>
      <c r="N12" s="55"/>
      <c r="O12" s="55"/>
      <c r="P12" s="55"/>
      <c r="Q12" s="55"/>
      <c r="R12" s="55"/>
      <c r="S12" s="55"/>
      <c r="T12" s="55"/>
      <c r="U12" s="55"/>
      <c r="V12" s="55"/>
      <c r="W12" s="54"/>
    </row>
    <row r="13" spans="1:23" x14ac:dyDescent="0.25">
      <c r="A13" t="s">
        <v>308</v>
      </c>
      <c r="B13" t="s">
        <v>675</v>
      </c>
      <c r="C13">
        <v>2020</v>
      </c>
      <c r="D13" s="53">
        <v>0.109</v>
      </c>
      <c r="E13" s="55">
        <v>0.1812070576</v>
      </c>
      <c r="F13" s="55">
        <v>0.24978033992000001</v>
      </c>
      <c r="G13" s="114">
        <v>2020</v>
      </c>
      <c r="H13" s="55">
        <v>5.3999999999999999E-2</v>
      </c>
      <c r="I13" s="114">
        <v>2020</v>
      </c>
      <c r="J13">
        <v>4.6664000000000003</v>
      </c>
      <c r="K13"/>
      <c r="L13"/>
      <c r="M13" s="114">
        <v>2021</v>
      </c>
      <c r="N13" s="55">
        <v>2.4932354668803343E-2</v>
      </c>
      <c r="O13" s="55"/>
      <c r="P13" s="55"/>
      <c r="Q13" s="55"/>
      <c r="R13" s="55"/>
      <c r="S13" s="55"/>
      <c r="T13" s="55"/>
      <c r="U13" s="55"/>
      <c r="V13" s="55"/>
      <c r="W13" s="54"/>
    </row>
    <row r="14" spans="1:23" x14ac:dyDescent="0.25">
      <c r="A14" t="s">
        <v>325</v>
      </c>
      <c r="B14" t="s">
        <v>676</v>
      </c>
      <c r="C14">
        <v>2020</v>
      </c>
      <c r="D14" s="53">
        <v>0.77489999999999992</v>
      </c>
      <c r="E14" s="55">
        <v>0.1812070576</v>
      </c>
      <c r="F14" s="55">
        <v>0.24978033992000001</v>
      </c>
      <c r="G14" s="114">
        <v>2020</v>
      </c>
      <c r="H14" s="55">
        <v>6.7500000000000004E-2</v>
      </c>
      <c r="I14" s="114">
        <v>2020</v>
      </c>
      <c r="J14">
        <v>6.5654000000000003</v>
      </c>
      <c r="K14"/>
      <c r="L14"/>
      <c r="M14" s="114">
        <v>2021</v>
      </c>
      <c r="N14" s="55">
        <v>2.0813572305679998E-3</v>
      </c>
      <c r="O14" s="55"/>
      <c r="P14" s="55"/>
      <c r="Q14" s="55"/>
      <c r="R14" s="55"/>
      <c r="S14" s="55"/>
      <c r="T14" s="55"/>
      <c r="U14" s="55"/>
      <c r="V14" s="55"/>
      <c r="W14" s="54"/>
    </row>
    <row r="15" spans="1:23" x14ac:dyDescent="0.25">
      <c r="A15" t="s">
        <v>588</v>
      </c>
      <c r="B15" t="s">
        <v>694</v>
      </c>
      <c r="C15">
        <v>2020</v>
      </c>
      <c r="D15" s="53">
        <v>0.15640000000000001</v>
      </c>
      <c r="E15" s="55">
        <v>0.1812070576</v>
      </c>
      <c r="F15" s="55">
        <v>0.24978033992000001</v>
      </c>
      <c r="G15" s="114">
        <v>2020</v>
      </c>
      <c r="H15" s="55">
        <v>7.8600000000000003E-2</v>
      </c>
      <c r="I15" s="114">
        <v>2020</v>
      </c>
      <c r="J15">
        <v>7.4751000000000003</v>
      </c>
      <c r="K15"/>
      <c r="L15"/>
      <c r="M15" s="114">
        <v>2021</v>
      </c>
      <c r="N15" s="55">
        <v>1.561017922926E-2</v>
      </c>
      <c r="O15" s="55"/>
      <c r="P15" s="55"/>
      <c r="Q15" s="55"/>
      <c r="R15" s="55"/>
      <c r="S15" s="55"/>
      <c r="T15" s="55"/>
      <c r="U15" s="55"/>
      <c r="V15" s="55"/>
      <c r="W15" s="54"/>
    </row>
    <row r="16" spans="1:23" x14ac:dyDescent="0.25">
      <c r="A16" t="s">
        <v>725</v>
      </c>
      <c r="B16" t="s">
        <v>677</v>
      </c>
      <c r="C16">
        <v>2020</v>
      </c>
      <c r="D16" s="53">
        <v>0.23069999999999999</v>
      </c>
      <c r="E16" s="55">
        <v>0.1812070576</v>
      </c>
      <c r="F16" s="55">
        <v>0.24978033992000001</v>
      </c>
      <c r="G16" s="114">
        <v>2020</v>
      </c>
      <c r="H16" s="55">
        <v>8.1799999999999998E-2</v>
      </c>
      <c r="I16" s="114">
        <v>2020</v>
      </c>
      <c r="J16">
        <v>6.9332000000000003</v>
      </c>
      <c r="K16"/>
      <c r="L16"/>
      <c r="M16" s="114"/>
      <c r="N16" s="55"/>
      <c r="O16" s="55"/>
      <c r="P16" s="55"/>
      <c r="Q16" s="55"/>
      <c r="R16" s="55"/>
      <c r="S16" s="55"/>
      <c r="T16" s="55"/>
      <c r="U16" s="55"/>
      <c r="V16" s="55"/>
      <c r="W16" s="54"/>
    </row>
    <row r="17" spans="1:23" x14ac:dyDescent="0.25">
      <c r="A17" t="s">
        <v>334</v>
      </c>
      <c r="B17" t="s">
        <v>678</v>
      </c>
      <c r="C17">
        <v>2020</v>
      </c>
      <c r="D17" s="53">
        <v>6.8599999999999994E-2</v>
      </c>
      <c r="E17" s="55">
        <v>0.1812070576</v>
      </c>
      <c r="F17" s="55">
        <v>0.24978033992000001</v>
      </c>
      <c r="G17" s="114">
        <v>2020</v>
      </c>
      <c r="H17" s="55">
        <v>6.25E-2</v>
      </c>
      <c r="I17" s="114">
        <v>2020</v>
      </c>
      <c r="J17">
        <v>9.0647000000000002</v>
      </c>
      <c r="K17"/>
      <c r="L17"/>
      <c r="M17" s="114">
        <v>2021</v>
      </c>
      <c r="N17" s="55">
        <v>6.4522074147607994E-2</v>
      </c>
      <c r="O17" s="55"/>
      <c r="P17" s="55"/>
      <c r="Q17" s="55"/>
      <c r="R17" s="55"/>
      <c r="S17" s="55"/>
      <c r="T17" s="55"/>
      <c r="U17" s="55"/>
      <c r="V17" s="55"/>
      <c r="W17" s="54"/>
    </row>
    <row r="18" spans="1:23" x14ac:dyDescent="0.25">
      <c r="A18" t="s">
        <v>335</v>
      </c>
      <c r="B18" t="s">
        <v>137</v>
      </c>
      <c r="C18">
        <v>2020</v>
      </c>
      <c r="D18" s="53">
        <v>5.11E-2</v>
      </c>
      <c r="E18" s="55">
        <v>0.1812070576</v>
      </c>
      <c r="F18" s="55">
        <v>0.24978033992000001</v>
      </c>
      <c r="G18" s="114">
        <v>2020</v>
      </c>
      <c r="H18" s="55">
        <v>8.4699999999999998E-2</v>
      </c>
      <c r="I18" s="114">
        <v>2020</v>
      </c>
      <c r="J18">
        <v>7.4488000000000003</v>
      </c>
      <c r="K18"/>
      <c r="L18"/>
      <c r="M18" s="114">
        <v>2021</v>
      </c>
      <c r="N18" s="55">
        <v>4.6414266241666398E-2</v>
      </c>
      <c r="O18" s="55"/>
      <c r="P18" s="55"/>
      <c r="Q18" s="55"/>
      <c r="R18" s="55"/>
      <c r="S18" s="55"/>
      <c r="T18" s="55"/>
      <c r="U18" s="55"/>
      <c r="V18" s="55"/>
      <c r="W18" s="54"/>
    </row>
    <row r="19" spans="1:23" x14ac:dyDescent="0.25">
      <c r="A19" t="s">
        <v>346</v>
      </c>
      <c r="B19" t="s">
        <v>727</v>
      </c>
      <c r="C19" t="s">
        <v>727</v>
      </c>
      <c r="D19" s="53" t="s">
        <v>727</v>
      </c>
      <c r="E19" s="55" t="s">
        <v>727</v>
      </c>
      <c r="F19" s="55" t="s">
        <v>727</v>
      </c>
      <c r="G19" s="55" t="s">
        <v>727</v>
      </c>
      <c r="H19" s="55" t="s">
        <v>727</v>
      </c>
      <c r="I19" s="114">
        <v>2020</v>
      </c>
      <c r="J19" s="55">
        <v>5.8773</v>
      </c>
      <c r="K19" s="55"/>
      <c r="L19" s="55"/>
      <c r="M19" s="114"/>
      <c r="N19" s="55"/>
      <c r="O19" s="55"/>
      <c r="P19" s="55"/>
      <c r="Q19" s="55"/>
      <c r="R19" s="55"/>
      <c r="S19" s="55"/>
      <c r="T19" s="55"/>
      <c r="U19" s="55"/>
      <c r="V19" s="55"/>
      <c r="W19" s="54"/>
    </row>
    <row r="20" spans="1:23" x14ac:dyDescent="0.25">
      <c r="A20" t="s">
        <v>353</v>
      </c>
      <c r="B20" t="s">
        <v>679</v>
      </c>
      <c r="C20">
        <v>2020</v>
      </c>
      <c r="D20" s="53">
        <v>0.47920000000000001</v>
      </c>
      <c r="E20" s="55">
        <v>0.1812070576</v>
      </c>
      <c r="F20" s="55">
        <v>0.24978033992000001</v>
      </c>
      <c r="G20" s="114" t="s">
        <v>727</v>
      </c>
      <c r="H20" s="55" t="s">
        <v>727</v>
      </c>
      <c r="I20" s="114">
        <v>2020</v>
      </c>
      <c r="J20">
        <v>6.3478000000000003</v>
      </c>
      <c r="K20"/>
      <c r="L20"/>
      <c r="M20" s="114"/>
      <c r="N20" s="55"/>
      <c r="O20" s="55"/>
      <c r="P20" s="55"/>
      <c r="Q20" s="55"/>
      <c r="R20" s="55"/>
      <c r="S20" s="55"/>
      <c r="T20" s="55"/>
      <c r="U20" s="55"/>
      <c r="V20" s="55"/>
      <c r="W20" s="54"/>
    </row>
    <row r="21" spans="1:23" x14ac:dyDescent="0.25">
      <c r="A21" t="s">
        <v>301</v>
      </c>
      <c r="B21" t="s">
        <v>672</v>
      </c>
      <c r="C21">
        <v>2020</v>
      </c>
      <c r="D21" s="53">
        <v>0.1338</v>
      </c>
      <c r="E21" s="55">
        <v>0.1812070576</v>
      </c>
      <c r="F21" s="55">
        <v>0.24978033992000001</v>
      </c>
      <c r="G21" s="114">
        <v>2020</v>
      </c>
      <c r="H21" s="55">
        <v>8.9800000000000005E-2</v>
      </c>
      <c r="I21" s="114">
        <v>2020</v>
      </c>
      <c r="J21">
        <v>7.4889999999999999</v>
      </c>
      <c r="K21"/>
      <c r="L21"/>
      <c r="M21" s="114"/>
      <c r="N21" s="55"/>
      <c r="O21" s="55"/>
      <c r="P21" s="55"/>
      <c r="Q21" s="55"/>
      <c r="R21" s="55"/>
      <c r="S21" s="55"/>
      <c r="T21" s="55"/>
      <c r="U21" s="55"/>
      <c r="V21" s="55"/>
      <c r="W21" s="54"/>
    </row>
    <row r="22" spans="1:23" x14ac:dyDescent="0.25">
      <c r="A22" t="s">
        <v>382</v>
      </c>
      <c r="B22" t="s">
        <v>680</v>
      </c>
      <c r="C22">
        <v>2020</v>
      </c>
      <c r="D22" s="53">
        <v>0.21640000000000001</v>
      </c>
      <c r="E22" s="55">
        <v>0.1812070576</v>
      </c>
      <c r="F22" s="55">
        <v>0.24978033992000001</v>
      </c>
      <c r="G22" s="114">
        <v>2020</v>
      </c>
      <c r="H22" s="55">
        <v>8.4900000000000003E-2</v>
      </c>
      <c r="I22" s="114">
        <v>2020</v>
      </c>
      <c r="J22">
        <v>6.8845999999999998</v>
      </c>
      <c r="K22"/>
      <c r="L22"/>
      <c r="M22" s="114"/>
      <c r="N22" s="55"/>
      <c r="O22" s="55"/>
      <c r="P22" s="55"/>
      <c r="Q22" s="55"/>
      <c r="R22" s="55"/>
      <c r="S22" s="55"/>
      <c r="T22" s="55"/>
      <c r="U22" s="55"/>
      <c r="V22" s="55"/>
      <c r="W22" s="54"/>
    </row>
    <row r="23" spans="1:23" x14ac:dyDescent="0.25">
      <c r="A23" t="s">
        <v>392</v>
      </c>
      <c r="B23" t="s">
        <v>682</v>
      </c>
      <c r="C23">
        <v>2020</v>
      </c>
      <c r="D23" s="53">
        <v>0.27860000000000001</v>
      </c>
      <c r="E23" s="55">
        <v>0.1812070576</v>
      </c>
      <c r="F23" s="55">
        <v>0.24978033992000001</v>
      </c>
      <c r="G23" s="114">
        <v>2020</v>
      </c>
      <c r="H23" s="55">
        <v>0.1265</v>
      </c>
      <c r="I23" s="114">
        <v>2020</v>
      </c>
      <c r="J23">
        <v>6.9149000000000003</v>
      </c>
      <c r="K23"/>
      <c r="L23"/>
      <c r="M23" s="114">
        <v>2021</v>
      </c>
      <c r="N23" s="55">
        <v>3.4862733612013995E-2</v>
      </c>
      <c r="O23" s="55"/>
      <c r="P23" s="55"/>
      <c r="Q23" s="55"/>
      <c r="R23" s="55"/>
      <c r="S23" s="55"/>
      <c r="T23" s="55"/>
      <c r="U23" s="55"/>
      <c r="V23" s="55"/>
      <c r="W23" s="54"/>
    </row>
    <row r="24" spans="1:23" x14ac:dyDescent="0.25">
      <c r="A24" t="s">
        <v>383</v>
      </c>
      <c r="B24" t="s">
        <v>681</v>
      </c>
      <c r="C24">
        <v>2020</v>
      </c>
      <c r="D24" s="53">
        <v>0</v>
      </c>
      <c r="E24" s="55">
        <v>0.1812070576</v>
      </c>
      <c r="F24" s="55">
        <v>0.24978033992000001</v>
      </c>
      <c r="G24" s="114">
        <v>2020</v>
      </c>
      <c r="H24" s="55">
        <v>7.1300000000000002E-2</v>
      </c>
      <c r="I24" s="114"/>
      <c r="J24" s="55"/>
      <c r="K24" s="55"/>
      <c r="L24" s="55"/>
      <c r="M24" s="114">
        <v>2021</v>
      </c>
      <c r="N24" s="55">
        <v>3.0863244204893215E-2</v>
      </c>
      <c r="O24" s="55"/>
      <c r="P24" s="55"/>
      <c r="Q24" s="55"/>
      <c r="R24" s="55"/>
      <c r="S24" s="55"/>
      <c r="T24" s="55"/>
      <c r="U24" s="55"/>
      <c r="V24" s="55"/>
    </row>
    <row r="25" spans="1:23" x14ac:dyDescent="0.25">
      <c r="A25" t="s">
        <v>138</v>
      </c>
      <c r="B25" t="s">
        <v>139</v>
      </c>
      <c r="C25">
        <v>2020</v>
      </c>
      <c r="D25" s="53">
        <v>0.21340000000000001</v>
      </c>
      <c r="E25" s="55">
        <v>0.1812070576</v>
      </c>
      <c r="F25" s="55">
        <v>0.24978033992000001</v>
      </c>
      <c r="G25" s="114">
        <v>2020</v>
      </c>
      <c r="H25" s="55">
        <v>8.5599999999999996E-2</v>
      </c>
      <c r="I25" s="114">
        <v>2020</v>
      </c>
      <c r="J25">
        <v>7.2576000000000001</v>
      </c>
      <c r="K25"/>
      <c r="L25"/>
      <c r="M25" s="114"/>
      <c r="N25" s="55"/>
      <c r="O25" s="55"/>
      <c r="P25" s="55"/>
      <c r="Q25" s="55"/>
      <c r="R25" s="55"/>
      <c r="S25" s="55"/>
      <c r="T25" s="55"/>
      <c r="U25" s="55"/>
      <c r="V25" s="55"/>
      <c r="W25" s="54"/>
    </row>
    <row r="26" spans="1:23" x14ac:dyDescent="0.25">
      <c r="A26" t="s">
        <v>432</v>
      </c>
      <c r="B26" t="s">
        <v>727</v>
      </c>
      <c r="C26" t="s">
        <v>727</v>
      </c>
      <c r="D26" s="53" t="s">
        <v>727</v>
      </c>
      <c r="E26" s="55" t="s">
        <v>727</v>
      </c>
      <c r="F26" s="55" t="s">
        <v>727</v>
      </c>
      <c r="G26" s="55" t="s">
        <v>727</v>
      </c>
      <c r="H26" s="55" t="s">
        <v>727</v>
      </c>
      <c r="I26" s="114">
        <v>2020</v>
      </c>
      <c r="J26" s="55">
        <v>11.1037</v>
      </c>
      <c r="K26" s="55"/>
      <c r="L26" s="55"/>
      <c r="M26" s="114">
        <v>2021</v>
      </c>
      <c r="N26" s="55">
        <v>8.9904985838576618E-2</v>
      </c>
      <c r="O26" s="55"/>
      <c r="P26" s="55"/>
      <c r="Q26" s="55"/>
      <c r="R26" s="55"/>
      <c r="S26" s="55"/>
      <c r="T26" s="55"/>
      <c r="U26" s="55"/>
      <c r="V26" s="55"/>
      <c r="W26" s="54"/>
    </row>
    <row r="27" spans="1:23" ht="15.75" customHeight="1" x14ac:dyDescent="0.25">
      <c r="A27" t="s">
        <v>434</v>
      </c>
      <c r="B27" t="s">
        <v>684</v>
      </c>
      <c r="C27">
        <v>2020</v>
      </c>
      <c r="D27" s="53">
        <v>4.5399999999999996E-2</v>
      </c>
      <c r="E27" s="55">
        <v>0.1812070576</v>
      </c>
      <c r="F27" s="55">
        <v>0.24978033992000001</v>
      </c>
      <c r="G27" s="114">
        <v>2020</v>
      </c>
      <c r="H27" s="55">
        <v>8.7099999999999997E-2</v>
      </c>
      <c r="I27" s="114">
        <v>2020</v>
      </c>
      <c r="J27">
        <v>5.1462000000000003</v>
      </c>
      <c r="K27"/>
      <c r="L27"/>
      <c r="M27" s="114"/>
      <c r="N27" s="55"/>
      <c r="O27" s="55"/>
      <c r="P27" s="55"/>
      <c r="Q27" s="55"/>
      <c r="R27" s="55"/>
      <c r="S27" s="55"/>
      <c r="T27" s="55"/>
      <c r="U27" s="55"/>
      <c r="V27" s="55"/>
      <c r="W27" s="54"/>
    </row>
    <row r="28" spans="1:23" x14ac:dyDescent="0.25">
      <c r="A28" t="s">
        <v>435</v>
      </c>
      <c r="B28" t="s">
        <v>685</v>
      </c>
      <c r="C28">
        <v>2020</v>
      </c>
      <c r="D28" s="53">
        <v>5.8500000000000003E-2</v>
      </c>
      <c r="E28" s="55">
        <v>0.1812070576</v>
      </c>
      <c r="F28" s="55">
        <v>0.24978033992000001</v>
      </c>
      <c r="G28" s="114">
        <v>2020</v>
      </c>
      <c r="H28" s="55">
        <v>8.2400000000000001E-2</v>
      </c>
      <c r="I28" s="114">
        <v>2020</v>
      </c>
      <c r="J28">
        <v>8.3124000000000002</v>
      </c>
      <c r="K28"/>
      <c r="L28"/>
      <c r="M28" s="114">
        <v>2021</v>
      </c>
      <c r="N28" s="55">
        <v>3.5549581498101439E-2</v>
      </c>
      <c r="O28" s="55"/>
      <c r="P28" s="55"/>
      <c r="Q28" s="55"/>
      <c r="R28" s="55"/>
      <c r="S28" s="55"/>
      <c r="T28" s="55"/>
      <c r="U28" s="55"/>
      <c r="V28" s="55"/>
      <c r="W28" s="54"/>
    </row>
    <row r="29" spans="1:23" x14ac:dyDescent="0.25">
      <c r="A29" t="s">
        <v>423</v>
      </c>
      <c r="B29" t="s">
        <v>683</v>
      </c>
      <c r="C29">
        <v>2020</v>
      </c>
      <c r="D29" s="53">
        <v>0.1065</v>
      </c>
      <c r="E29" s="55">
        <v>0.1812070576</v>
      </c>
      <c r="F29" s="55">
        <v>0.24978033992000001</v>
      </c>
      <c r="G29" s="114">
        <v>2020</v>
      </c>
      <c r="H29" s="55">
        <v>8.1299999999999997E-2</v>
      </c>
      <c r="I29" s="114">
        <v>2020</v>
      </c>
      <c r="J29">
        <v>6.8146000000000004</v>
      </c>
      <c r="K29"/>
      <c r="L29"/>
      <c r="M29" s="114">
        <v>2021</v>
      </c>
      <c r="N29" s="55">
        <v>1.2488143383408E-2</v>
      </c>
      <c r="O29" s="55"/>
      <c r="P29" s="55"/>
      <c r="Q29" s="55"/>
      <c r="R29" s="55"/>
      <c r="S29" s="55"/>
      <c r="T29" s="55"/>
      <c r="U29" s="55"/>
      <c r="V29" s="55"/>
      <c r="W29" s="54"/>
    </row>
    <row r="30" spans="1:23" x14ac:dyDescent="0.25">
      <c r="A30" t="s">
        <v>465</v>
      </c>
      <c r="B30" t="s">
        <v>727</v>
      </c>
      <c r="C30" t="s">
        <v>727</v>
      </c>
      <c r="D30" s="53" t="s">
        <v>727</v>
      </c>
      <c r="E30" s="55" t="s">
        <v>727</v>
      </c>
      <c r="F30" s="55" t="s">
        <v>727</v>
      </c>
      <c r="G30" s="55" t="s">
        <v>727</v>
      </c>
      <c r="H30" s="55" t="s">
        <v>727</v>
      </c>
      <c r="I30" s="114">
        <v>2020</v>
      </c>
      <c r="J30" s="55">
        <v>7.3979999999999997</v>
      </c>
      <c r="K30" s="55"/>
      <c r="L30" s="55"/>
      <c r="M30" s="114"/>
      <c r="N30" s="55"/>
      <c r="O30" s="55"/>
      <c r="P30" s="55"/>
      <c r="Q30" s="55"/>
      <c r="R30" s="55"/>
      <c r="S30" s="55"/>
      <c r="T30" s="55"/>
      <c r="U30" s="55"/>
      <c r="V30" s="55"/>
      <c r="W30" s="54"/>
    </row>
    <row r="31" spans="1:23" x14ac:dyDescent="0.25">
      <c r="A31" t="s">
        <v>438</v>
      </c>
      <c r="B31" t="s">
        <v>727</v>
      </c>
      <c r="C31" t="s">
        <v>727</v>
      </c>
      <c r="D31" s="53" t="s">
        <v>727</v>
      </c>
      <c r="E31" s="55" t="s">
        <v>727</v>
      </c>
      <c r="F31" s="55" t="s">
        <v>727</v>
      </c>
      <c r="G31" s="55" t="s">
        <v>727</v>
      </c>
      <c r="H31" s="55" t="s">
        <v>727</v>
      </c>
      <c r="I31" s="114">
        <v>2020</v>
      </c>
      <c r="J31" s="55">
        <v>6.7857000000000003</v>
      </c>
      <c r="K31" s="55"/>
      <c r="L31" s="55"/>
      <c r="M31" s="114"/>
      <c r="N31" s="55"/>
      <c r="O31" s="55"/>
      <c r="P31" s="55"/>
      <c r="Q31" s="55"/>
      <c r="R31" s="55"/>
      <c r="S31" s="55"/>
      <c r="T31" s="55"/>
      <c r="U31" s="55"/>
      <c r="V31" s="55"/>
      <c r="W31" s="54"/>
    </row>
    <row r="32" spans="1:23" x14ac:dyDescent="0.25">
      <c r="A32" t="s">
        <v>450</v>
      </c>
      <c r="B32" t="s">
        <v>686</v>
      </c>
      <c r="C32">
        <v>2020</v>
      </c>
      <c r="D32" s="53">
        <v>0.379</v>
      </c>
      <c r="E32" s="55">
        <v>0.1812070576</v>
      </c>
      <c r="F32" s="55">
        <v>0.24978033992000001</v>
      </c>
      <c r="G32" s="114">
        <v>2020</v>
      </c>
      <c r="H32" s="55">
        <v>0.1328</v>
      </c>
      <c r="I32" s="114"/>
      <c r="J32" s="55"/>
      <c r="K32" s="55"/>
      <c r="L32" s="55"/>
      <c r="M32" s="114"/>
      <c r="N32" s="55"/>
      <c r="O32" s="55"/>
      <c r="P32" s="55"/>
      <c r="Q32" s="55"/>
      <c r="R32" s="55"/>
      <c r="S32" s="55"/>
      <c r="T32" s="55"/>
      <c r="U32" s="55"/>
      <c r="V32" s="55"/>
      <c r="W32" s="54"/>
    </row>
    <row r="33" spans="1:23" x14ac:dyDescent="0.25">
      <c r="A33" t="s">
        <v>487</v>
      </c>
      <c r="B33" t="s">
        <v>687</v>
      </c>
      <c r="C33">
        <v>2020</v>
      </c>
      <c r="D33" s="53">
        <v>0.32839999999999997</v>
      </c>
      <c r="E33" s="55">
        <v>0.1812070576</v>
      </c>
      <c r="F33" s="55">
        <v>0.24978033992000001</v>
      </c>
      <c r="G33" s="114">
        <v>2020</v>
      </c>
      <c r="H33" s="55">
        <v>6.8000000000000005E-2</v>
      </c>
      <c r="I33" s="114">
        <v>2020</v>
      </c>
      <c r="J33">
        <v>5.3364000000000003</v>
      </c>
      <c r="K33"/>
      <c r="L33"/>
      <c r="M33" s="114">
        <v>2021</v>
      </c>
      <c r="N33" s="55">
        <v>3.122035845852E-2</v>
      </c>
      <c r="O33" s="55"/>
      <c r="P33" s="55"/>
      <c r="Q33" s="55"/>
      <c r="R33" s="55"/>
      <c r="S33" s="55"/>
      <c r="T33" s="55"/>
      <c r="U33" s="55"/>
      <c r="V33" s="55"/>
      <c r="W33" s="55"/>
    </row>
    <row r="34" spans="1:23" x14ac:dyDescent="0.25">
      <c r="A34" t="s">
        <v>506</v>
      </c>
      <c r="B34" t="s">
        <v>688</v>
      </c>
      <c r="C34">
        <v>2020</v>
      </c>
      <c r="D34" s="53">
        <v>0</v>
      </c>
      <c r="E34" s="55">
        <v>0.1812070576</v>
      </c>
      <c r="F34" s="55">
        <v>0.24978033992000001</v>
      </c>
      <c r="G34" s="114">
        <v>2020</v>
      </c>
      <c r="H34" s="55">
        <v>4.1700000000000001E-2</v>
      </c>
      <c r="I34" s="114" t="s">
        <v>727</v>
      </c>
      <c r="J34" s="55" t="s">
        <v>727</v>
      </c>
      <c r="K34" s="55"/>
      <c r="L34" s="55"/>
      <c r="M34" s="114">
        <v>2021</v>
      </c>
      <c r="N34" s="55">
        <v>6.14221227405801E-2</v>
      </c>
      <c r="O34" s="55"/>
      <c r="P34" s="55"/>
      <c r="Q34" s="55"/>
      <c r="R34" s="55"/>
      <c r="S34" s="55"/>
      <c r="T34" s="55"/>
      <c r="U34" s="55"/>
      <c r="V34" s="55"/>
      <c r="W34" s="55"/>
    </row>
    <row r="35" spans="1:23" x14ac:dyDescent="0.25">
      <c r="A35" t="s">
        <v>527</v>
      </c>
      <c r="B35" t="s">
        <v>689</v>
      </c>
      <c r="C35">
        <v>2020</v>
      </c>
      <c r="D35" s="53">
        <v>0.70979999999999999</v>
      </c>
      <c r="E35" s="55">
        <v>0.1812070576</v>
      </c>
      <c r="F35" s="55">
        <v>0.24978033992000001</v>
      </c>
      <c r="G35" s="114">
        <v>2020</v>
      </c>
      <c r="H35" s="55">
        <v>0.08</v>
      </c>
      <c r="I35" s="114">
        <v>2020</v>
      </c>
      <c r="J35">
        <v>7.9949000000000003</v>
      </c>
      <c r="K35"/>
      <c r="L35"/>
      <c r="M35" s="114">
        <v>2021</v>
      </c>
      <c r="N35" s="55">
        <v>6.9660017700217113E-5</v>
      </c>
      <c r="O35" s="55"/>
      <c r="P35" s="55"/>
      <c r="Q35" s="55"/>
      <c r="R35" s="55"/>
      <c r="S35" s="55"/>
      <c r="T35" s="55"/>
      <c r="U35" s="55"/>
      <c r="V35" s="55"/>
      <c r="W35" s="55"/>
    </row>
    <row r="36" spans="1:23" x14ac:dyDescent="0.25">
      <c r="A36" t="s">
        <v>528</v>
      </c>
      <c r="B36" t="s">
        <v>690</v>
      </c>
      <c r="C36">
        <v>2020</v>
      </c>
      <c r="D36" s="53">
        <v>0.19839999999999999</v>
      </c>
      <c r="E36" s="55">
        <v>0.1812070576</v>
      </c>
      <c r="F36" s="55">
        <v>0.24978033992000001</v>
      </c>
      <c r="G36" s="114">
        <v>2020</v>
      </c>
      <c r="H36" s="55">
        <v>7.9399999999999998E-2</v>
      </c>
      <c r="I36" s="114">
        <v>2020</v>
      </c>
      <c r="J36">
        <v>7.3083</v>
      </c>
      <c r="K36"/>
      <c r="L36"/>
      <c r="M36" s="114">
        <v>2021</v>
      </c>
      <c r="N36" s="55">
        <v>2.4976286766816E-2</v>
      </c>
      <c r="O36" s="55"/>
      <c r="P36" s="55"/>
      <c r="Q36" s="55"/>
      <c r="R36" s="55"/>
      <c r="S36" s="55"/>
      <c r="T36" s="55"/>
      <c r="U36" s="55"/>
      <c r="V36" s="55"/>
      <c r="W36" s="55"/>
    </row>
    <row r="37" spans="1:23" x14ac:dyDescent="0.25">
      <c r="A37" t="s">
        <v>537</v>
      </c>
      <c r="B37" t="s">
        <v>691</v>
      </c>
      <c r="C37">
        <v>2020</v>
      </c>
      <c r="D37" s="53">
        <v>0.29949999999999999</v>
      </c>
      <c r="E37" s="55">
        <v>0.1812070576</v>
      </c>
      <c r="F37" s="55">
        <v>0.24978033992000001</v>
      </c>
      <c r="G37" s="114">
        <v>2020</v>
      </c>
      <c r="H37" s="55">
        <v>8.8999999999999996E-2</v>
      </c>
      <c r="I37" s="114">
        <v>2020</v>
      </c>
      <c r="J37">
        <v>8.17</v>
      </c>
      <c r="K37"/>
      <c r="L37"/>
      <c r="M37" s="114"/>
      <c r="N37" s="55"/>
      <c r="O37" s="55"/>
      <c r="P37" s="55"/>
      <c r="Q37" s="55"/>
      <c r="R37" s="55"/>
      <c r="S37" s="55"/>
      <c r="T37" s="55"/>
      <c r="U37" s="55"/>
      <c r="V37" s="55"/>
      <c r="W37" s="55"/>
    </row>
    <row r="38" spans="1:23" x14ac:dyDescent="0.25">
      <c r="A38" t="s">
        <v>533</v>
      </c>
      <c r="B38" t="s">
        <v>727</v>
      </c>
      <c r="C38" t="s">
        <v>727</v>
      </c>
      <c r="D38" s="53" t="s">
        <v>727</v>
      </c>
      <c r="E38" s="55" t="s">
        <v>727</v>
      </c>
      <c r="F38" s="55" t="s">
        <v>727</v>
      </c>
      <c r="G38" s="55" t="s">
        <v>727</v>
      </c>
      <c r="H38" s="55" t="s">
        <v>727</v>
      </c>
      <c r="I38" s="114">
        <v>2020</v>
      </c>
      <c r="J38" s="55">
        <v>10.074199999999999</v>
      </c>
      <c r="K38" s="55"/>
      <c r="L38" s="55"/>
      <c r="M38" s="114"/>
      <c r="N38" s="55"/>
      <c r="O38" s="55"/>
      <c r="P38" s="55"/>
      <c r="Q38" s="55"/>
      <c r="R38" s="55"/>
      <c r="S38" s="55"/>
      <c r="T38" s="55"/>
      <c r="U38" s="55"/>
      <c r="V38" s="55"/>
      <c r="W38" s="55"/>
    </row>
    <row r="39" spans="1:23" x14ac:dyDescent="0.25">
      <c r="A39" t="s">
        <v>599</v>
      </c>
      <c r="B39" t="s">
        <v>695</v>
      </c>
      <c r="C39">
        <v>2020</v>
      </c>
      <c r="D39" s="53">
        <v>8.8000000000000005E-3</v>
      </c>
      <c r="E39" s="55">
        <v>0.1812070576</v>
      </c>
      <c r="F39" s="55">
        <v>0.24978033992000001</v>
      </c>
      <c r="G39" s="114">
        <v>2020</v>
      </c>
      <c r="H39" s="55">
        <v>6.4100000000000004E-2</v>
      </c>
      <c r="I39" s="114">
        <v>2020</v>
      </c>
      <c r="J39">
        <v>8.6310000000000002</v>
      </c>
      <c r="K39"/>
      <c r="L39"/>
      <c r="M39" s="114">
        <v>2021</v>
      </c>
      <c r="N39" s="55">
        <v>0.12159552681153803</v>
      </c>
      <c r="O39" s="55"/>
      <c r="P39" s="55"/>
      <c r="Q39" s="55"/>
      <c r="R39" s="55"/>
      <c r="S39" s="55"/>
      <c r="T39" s="55"/>
      <c r="U39" s="55"/>
      <c r="V39" s="55"/>
      <c r="W39" s="55"/>
    </row>
    <row r="40" spans="1:23" x14ac:dyDescent="0.25">
      <c r="A40" t="s">
        <v>577</v>
      </c>
      <c r="B40" t="s">
        <v>693</v>
      </c>
      <c r="C40">
        <v>2020</v>
      </c>
      <c r="D40" s="53">
        <v>0.21780000000000002</v>
      </c>
      <c r="E40" s="55">
        <v>0.1812070576</v>
      </c>
      <c r="F40" s="55">
        <v>0.24978033992000001</v>
      </c>
      <c r="G40" s="114">
        <v>2020</v>
      </c>
      <c r="H40" s="55">
        <v>8.1100000000000005E-2</v>
      </c>
      <c r="I40" s="114">
        <v>2020</v>
      </c>
      <c r="J40">
        <v>6.8560999999999996</v>
      </c>
      <c r="K40"/>
      <c r="L40"/>
      <c r="M40" s="114">
        <v>2021</v>
      </c>
      <c r="N40" s="55">
        <v>1.80037400444132E-2</v>
      </c>
      <c r="O40" s="55"/>
      <c r="P40" s="55"/>
      <c r="Q40" s="55"/>
      <c r="R40" s="55"/>
      <c r="S40" s="55"/>
      <c r="T40" s="55"/>
      <c r="U40" s="55"/>
      <c r="V40" s="55"/>
      <c r="W40" s="55"/>
    </row>
    <row r="41" spans="1:23" x14ac:dyDescent="0.25">
      <c r="A41" t="s">
        <v>576</v>
      </c>
      <c r="B41" t="s">
        <v>692</v>
      </c>
      <c r="C41">
        <v>2020</v>
      </c>
      <c r="D41" s="53">
        <v>0.1017</v>
      </c>
      <c r="E41" s="55">
        <v>0.1812070576</v>
      </c>
      <c r="F41" s="55">
        <v>0.24978033992000001</v>
      </c>
      <c r="G41" s="114">
        <v>2020</v>
      </c>
      <c r="H41" s="55">
        <v>9.7699999999999995E-2</v>
      </c>
      <c r="I41" s="114">
        <v>2020</v>
      </c>
      <c r="J41">
        <v>8.1430000000000007</v>
      </c>
      <c r="K41"/>
      <c r="L41"/>
      <c r="M41" s="114"/>
      <c r="N41" s="55"/>
      <c r="O41" s="55"/>
      <c r="P41" s="55"/>
      <c r="Q41" s="55"/>
      <c r="R41" s="55"/>
      <c r="S41" s="55"/>
      <c r="T41" s="55"/>
      <c r="U41" s="55"/>
      <c r="V41" s="55"/>
      <c r="W41" s="55"/>
    </row>
    <row r="42" spans="1:23" x14ac:dyDescent="0.25">
      <c r="A42" t="s">
        <v>624</v>
      </c>
      <c r="B42" t="s">
        <v>727</v>
      </c>
      <c r="C42" t="s">
        <v>727</v>
      </c>
      <c r="D42" s="53" t="s">
        <v>727</v>
      </c>
      <c r="E42" s="55" t="s">
        <v>727</v>
      </c>
      <c r="F42" s="55" t="s">
        <v>727</v>
      </c>
      <c r="G42" s="55" t="s">
        <v>727</v>
      </c>
      <c r="H42" s="55" t="s">
        <v>727</v>
      </c>
      <c r="I42" s="114">
        <v>2020</v>
      </c>
      <c r="J42">
        <v>5.9961000000000002</v>
      </c>
      <c r="K42"/>
      <c r="L42"/>
      <c r="M42" s="114"/>
      <c r="N42" s="55"/>
      <c r="O42" s="55"/>
      <c r="P42" s="55"/>
      <c r="Q42" s="55"/>
      <c r="R42" s="55"/>
      <c r="S42" s="55"/>
      <c r="T42" s="55"/>
      <c r="U42" s="55"/>
      <c r="V42" s="55"/>
      <c r="W42" s="55"/>
    </row>
    <row r="43" spans="1:23" x14ac:dyDescent="0.25">
      <c r="A43" t="s">
        <v>636</v>
      </c>
      <c r="B43" t="s">
        <v>727</v>
      </c>
      <c r="C43" t="s">
        <v>727</v>
      </c>
      <c r="D43" s="53" t="s">
        <v>727</v>
      </c>
      <c r="E43" s="55" t="s">
        <v>727</v>
      </c>
      <c r="F43" s="55" t="s">
        <v>727</v>
      </c>
      <c r="G43" s="55" t="s">
        <v>727</v>
      </c>
      <c r="H43" s="55" t="s">
        <v>727</v>
      </c>
      <c r="I43" s="114">
        <v>2020</v>
      </c>
      <c r="J43">
        <v>4.2910000000000004</v>
      </c>
      <c r="K43"/>
      <c r="L43"/>
      <c r="M43" s="114">
        <v>2021</v>
      </c>
      <c r="N43" s="55">
        <v>3.1844095822622159E-4</v>
      </c>
      <c r="O43" s="55"/>
      <c r="P43" s="55"/>
      <c r="Q43" s="55"/>
      <c r="R43" s="55"/>
      <c r="S43" s="55"/>
      <c r="T43" s="55"/>
      <c r="U43" s="55"/>
      <c r="V43" s="55"/>
      <c r="W43" s="55"/>
    </row>
    <row r="44" spans="1:23" x14ac:dyDescent="0.25">
      <c r="A44" t="s">
        <v>718</v>
      </c>
      <c r="B44" t="s">
        <v>727</v>
      </c>
      <c r="C44" t="s">
        <v>727</v>
      </c>
      <c r="D44" s="53" t="s">
        <v>727</v>
      </c>
      <c r="E44" s="55" t="s">
        <v>727</v>
      </c>
      <c r="F44" s="55" t="s">
        <v>727</v>
      </c>
      <c r="G44" s="55" t="s">
        <v>727</v>
      </c>
      <c r="H44" s="55" t="s">
        <v>727</v>
      </c>
      <c r="I44" s="114">
        <v>2020</v>
      </c>
      <c r="J44">
        <v>6.9936999999999996</v>
      </c>
      <c r="K44"/>
      <c r="L44"/>
      <c r="M44" s="114">
        <v>2021</v>
      </c>
      <c r="N44" s="55">
        <v>2.19680114643E-2</v>
      </c>
      <c r="O44" s="55"/>
      <c r="P44" s="55"/>
      <c r="Q44" s="55"/>
      <c r="R44" s="55"/>
      <c r="S44" s="55"/>
      <c r="T44" s="55"/>
      <c r="U44" s="55"/>
      <c r="V44" s="55"/>
      <c r="W44" s="55"/>
    </row>
    <row r="45" spans="1:23" x14ac:dyDescent="0.25">
      <c r="I45" s="114"/>
      <c r="J45"/>
      <c r="K45"/>
      <c r="L45"/>
      <c r="M45" s="53"/>
      <c r="N45" s="53"/>
      <c r="O45" s="53"/>
      <c r="P45" s="53"/>
      <c r="Q45" s="53"/>
      <c r="R45" s="55"/>
      <c r="S45" s="55"/>
      <c r="T45" s="55"/>
      <c r="U45" s="55"/>
      <c r="V45" s="55"/>
      <c r="W45" s="55"/>
    </row>
    <row r="46" spans="1:23" x14ac:dyDescent="0.25">
      <c r="I46" s="114"/>
      <c r="J46"/>
      <c r="K46"/>
      <c r="L46"/>
      <c r="M46" s="53"/>
      <c r="N46" s="53"/>
      <c r="O46" s="53"/>
      <c r="P46" s="53"/>
      <c r="Q46" s="53"/>
      <c r="R46" s="55"/>
      <c r="S46" s="55"/>
      <c r="T46" s="55"/>
      <c r="U46" s="55"/>
      <c r="V46" s="55"/>
      <c r="W46" s="55"/>
    </row>
    <row r="47" spans="1:23" x14ac:dyDescent="0.25">
      <c r="I47" s="114"/>
      <c r="J47"/>
      <c r="K47"/>
      <c r="L47"/>
      <c r="M47" s="53"/>
      <c r="N47" s="53"/>
      <c r="O47" s="53"/>
      <c r="P47" s="53"/>
      <c r="Q47" s="53"/>
      <c r="R47" s="53"/>
    </row>
    <row r="48" spans="1:23" x14ac:dyDescent="0.25">
      <c r="I48" s="114"/>
      <c r="J48"/>
      <c r="K48"/>
      <c r="L48"/>
      <c r="M48" s="53"/>
      <c r="N48" s="53"/>
      <c r="O48" s="53"/>
      <c r="P48" s="53"/>
      <c r="Q48" s="53"/>
      <c r="R48" s="53"/>
    </row>
    <row r="49" spans="9:18" ht="18" customHeight="1" x14ac:dyDescent="0.25">
      <c r="I49" s="114"/>
    </row>
    <row r="50" spans="9:18" x14ac:dyDescent="0.25">
      <c r="I50" s="114"/>
      <c r="J50"/>
      <c r="K50"/>
      <c r="L50"/>
      <c r="M50" s="53"/>
      <c r="N50" s="53"/>
      <c r="O50" s="53"/>
      <c r="P50" s="53"/>
      <c r="Q50" s="53"/>
      <c r="R50" s="53"/>
    </row>
    <row r="51" spans="9:18" x14ac:dyDescent="0.25">
      <c r="I51" s="114"/>
      <c r="J51"/>
      <c r="K51"/>
      <c r="L51"/>
      <c r="M51" s="53"/>
      <c r="N51" s="53"/>
      <c r="O51" s="53"/>
      <c r="P51" s="53"/>
      <c r="Q51" s="53"/>
      <c r="R51" s="53"/>
    </row>
    <row r="52" spans="9:18" x14ac:dyDescent="0.25">
      <c r="I52" s="114"/>
      <c r="J52"/>
      <c r="K52"/>
      <c r="L52"/>
      <c r="M52" s="53"/>
      <c r="N52" s="53"/>
      <c r="O52" s="53"/>
      <c r="P52" s="53"/>
      <c r="Q52" s="53"/>
      <c r="R52" s="53"/>
    </row>
    <row r="53" spans="9:18" x14ac:dyDescent="0.25">
      <c r="I53" s="114"/>
      <c r="J53"/>
      <c r="K53"/>
      <c r="L53"/>
      <c r="M53" s="53"/>
      <c r="N53" s="53"/>
      <c r="O53" s="53"/>
      <c r="P53" s="53"/>
      <c r="Q53" s="53"/>
      <c r="R53" s="53"/>
    </row>
    <row r="54" spans="9:18" x14ac:dyDescent="0.25">
      <c r="I54" s="114"/>
      <c r="J54"/>
      <c r="K54"/>
      <c r="L54"/>
      <c r="M54" s="53"/>
      <c r="N54" s="53"/>
      <c r="O54" s="53"/>
      <c r="P54" s="53"/>
      <c r="Q54" s="53"/>
      <c r="R54" s="53"/>
    </row>
    <row r="55" spans="9:18" x14ac:dyDescent="0.25">
      <c r="I55" s="114"/>
      <c r="J55"/>
      <c r="K55"/>
      <c r="L55"/>
      <c r="M55" s="53"/>
      <c r="N55" s="53"/>
      <c r="O55" s="53"/>
      <c r="P55" s="53"/>
      <c r="Q55" s="53"/>
      <c r="R55" s="53"/>
    </row>
    <row r="56" spans="9:18" x14ac:dyDescent="0.25">
      <c r="I56" s="114"/>
      <c r="J56"/>
      <c r="K56"/>
      <c r="L56"/>
      <c r="M56" s="53"/>
      <c r="N56" s="53"/>
      <c r="O56" s="53"/>
      <c r="P56" s="53"/>
      <c r="Q56" s="53"/>
      <c r="R56" s="53"/>
    </row>
    <row r="57" spans="9:18" x14ac:dyDescent="0.25">
      <c r="I57" s="114"/>
      <c r="J57"/>
      <c r="K57"/>
      <c r="L57"/>
      <c r="M57" s="53"/>
      <c r="N57" s="53"/>
      <c r="O57" s="53"/>
      <c r="P57" s="53"/>
      <c r="Q57" s="53"/>
      <c r="R57" s="53"/>
    </row>
    <row r="58" spans="9:18" x14ac:dyDescent="0.25">
      <c r="I58" s="114"/>
      <c r="J58"/>
      <c r="K58"/>
      <c r="L58"/>
      <c r="M58" s="53"/>
      <c r="N58" s="53"/>
      <c r="O58" s="53"/>
      <c r="P58" s="53"/>
      <c r="Q58" s="53"/>
      <c r="R58" s="53"/>
    </row>
    <row r="59" spans="9:18" x14ac:dyDescent="0.25">
      <c r="I59" s="114"/>
      <c r="J59"/>
      <c r="K59"/>
      <c r="L59"/>
      <c r="M59" s="53"/>
      <c r="N59" s="53"/>
      <c r="O59" s="53"/>
      <c r="P59" s="53"/>
      <c r="Q59" s="53"/>
      <c r="R59" s="53"/>
    </row>
    <row r="60" spans="9:18" x14ac:dyDescent="0.25">
      <c r="I60" s="114"/>
      <c r="J60"/>
      <c r="K60"/>
      <c r="L60"/>
      <c r="M60" s="53"/>
      <c r="N60" s="53"/>
      <c r="O60" s="53"/>
      <c r="P60" s="53"/>
      <c r="Q60" s="53"/>
      <c r="R60" s="53"/>
    </row>
    <row r="61" spans="9:18" x14ac:dyDescent="0.25">
      <c r="I61" s="114"/>
      <c r="J61"/>
      <c r="K61"/>
      <c r="L61"/>
      <c r="M61" s="53"/>
      <c r="N61" s="53"/>
      <c r="O61" s="53"/>
      <c r="P61" s="53"/>
      <c r="Q61" s="53"/>
      <c r="R61" s="53"/>
    </row>
    <row r="62" spans="9:18" x14ac:dyDescent="0.25">
      <c r="I62" s="114"/>
      <c r="J62"/>
      <c r="K62"/>
      <c r="L62"/>
      <c r="M62" s="53"/>
      <c r="N62" s="53"/>
      <c r="O62" s="53"/>
      <c r="P62" s="53"/>
      <c r="Q62" s="53"/>
      <c r="R62" s="53"/>
    </row>
    <row r="63" spans="9:18" x14ac:dyDescent="0.25">
      <c r="I63" s="114"/>
      <c r="J63"/>
      <c r="K63"/>
      <c r="L63"/>
      <c r="M63" s="53"/>
      <c r="N63" s="53"/>
      <c r="O63" s="53"/>
      <c r="P63" s="53"/>
      <c r="Q63" s="53"/>
      <c r="R63" s="53"/>
    </row>
    <row r="64" spans="9:18" x14ac:dyDescent="0.25">
      <c r="I64" s="114"/>
      <c r="J64"/>
      <c r="K64"/>
      <c r="L64"/>
      <c r="M64" s="53"/>
      <c r="N64" s="53"/>
      <c r="O64" s="53"/>
      <c r="P64" s="53"/>
      <c r="Q64" s="53"/>
      <c r="R64" s="53"/>
    </row>
    <row r="65" spans="9:18" x14ac:dyDescent="0.25">
      <c r="I65" s="114"/>
      <c r="J65"/>
      <c r="K65"/>
      <c r="L65"/>
      <c r="M65" s="53"/>
      <c r="N65" s="53"/>
      <c r="O65" s="53"/>
      <c r="P65" s="53"/>
      <c r="Q65" s="53"/>
      <c r="R65" s="53"/>
    </row>
    <row r="66" spans="9:18" x14ac:dyDescent="0.25">
      <c r="I66" s="114"/>
      <c r="J66"/>
      <c r="K66"/>
      <c r="L66"/>
      <c r="M66" s="53"/>
      <c r="N66" s="53"/>
      <c r="O66" s="53"/>
      <c r="P66" s="53"/>
      <c r="Q66" s="53"/>
      <c r="R66" s="53"/>
    </row>
    <row r="67" spans="9:18" ht="18" customHeight="1" x14ac:dyDescent="0.25">
      <c r="I67" s="114"/>
      <c r="J67"/>
      <c r="K67"/>
      <c r="L67"/>
      <c r="M67" s="53"/>
      <c r="N67" s="53"/>
      <c r="O67" s="53"/>
      <c r="P67" s="53"/>
      <c r="Q67" s="53"/>
      <c r="R67" s="53"/>
    </row>
    <row r="68" spans="9:18" x14ac:dyDescent="0.25">
      <c r="I68" s="114"/>
      <c r="J68"/>
      <c r="K68"/>
      <c r="L68"/>
      <c r="M68" s="53"/>
      <c r="N68" s="53"/>
      <c r="O68" s="53"/>
      <c r="P68" s="53"/>
      <c r="Q68" s="53"/>
      <c r="R68" s="53"/>
    </row>
    <row r="69" spans="9:18" x14ac:dyDescent="0.25">
      <c r="I69" s="114"/>
      <c r="J69"/>
      <c r="K69"/>
      <c r="L69"/>
      <c r="M69" s="53"/>
      <c r="N69" s="53"/>
      <c r="O69" s="53"/>
      <c r="P69" s="53"/>
      <c r="Q69" s="53"/>
      <c r="R69" s="53"/>
    </row>
    <row r="70" spans="9:18" x14ac:dyDescent="0.25">
      <c r="I70" s="114"/>
      <c r="J70"/>
      <c r="K70"/>
      <c r="L70"/>
      <c r="M70" s="53"/>
      <c r="N70" s="53"/>
      <c r="O70" s="53"/>
      <c r="P70" s="53"/>
      <c r="Q70" s="53"/>
      <c r="R70" s="53"/>
    </row>
    <row r="71" spans="9:18" x14ac:dyDescent="0.25">
      <c r="I71" s="114"/>
      <c r="J71"/>
      <c r="K71"/>
      <c r="L71"/>
      <c r="M71" s="53"/>
      <c r="N71" s="53"/>
      <c r="O71" s="53"/>
      <c r="P71" s="53"/>
      <c r="Q71" s="53"/>
      <c r="R71" s="53"/>
    </row>
    <row r="72" spans="9:18" x14ac:dyDescent="0.25">
      <c r="I72" s="114"/>
      <c r="J72"/>
      <c r="K72"/>
      <c r="L72"/>
      <c r="M72" s="53"/>
      <c r="N72" s="53"/>
      <c r="O72" s="53"/>
      <c r="P72" s="53"/>
      <c r="Q72" s="53"/>
      <c r="R72" s="53"/>
    </row>
    <row r="73" spans="9:18" x14ac:dyDescent="0.25">
      <c r="I73" s="114"/>
      <c r="J73"/>
      <c r="K73"/>
      <c r="L73"/>
      <c r="M73" s="53"/>
      <c r="N73" s="53"/>
      <c r="O73" s="53"/>
      <c r="P73" s="53"/>
      <c r="Q73" s="53"/>
      <c r="R73" s="53"/>
    </row>
    <row r="74" spans="9:18" x14ac:dyDescent="0.25">
      <c r="I74" s="114"/>
      <c r="J74"/>
      <c r="K74"/>
      <c r="L74"/>
      <c r="M74" s="53"/>
      <c r="N74" s="53"/>
      <c r="O74" s="53"/>
      <c r="P74" s="53"/>
      <c r="Q74" s="53"/>
      <c r="R74" s="53"/>
    </row>
    <row r="75" spans="9:18" x14ac:dyDescent="0.25">
      <c r="I75" s="114"/>
      <c r="J75"/>
      <c r="K75"/>
      <c r="L75"/>
      <c r="M75" s="53"/>
      <c r="N75" s="53"/>
      <c r="O75" s="53"/>
      <c r="P75" s="53"/>
      <c r="Q75" s="53"/>
      <c r="R75" s="53"/>
    </row>
    <row r="76" spans="9:18" x14ac:dyDescent="0.25">
      <c r="I76" s="114"/>
      <c r="J76"/>
      <c r="K76"/>
      <c r="L76"/>
      <c r="M76" s="53"/>
      <c r="N76" s="53"/>
      <c r="O76" s="53"/>
      <c r="P76" s="53"/>
      <c r="Q76" s="53"/>
      <c r="R76" s="53"/>
    </row>
    <row r="77" spans="9:18" x14ac:dyDescent="0.25">
      <c r="I77" s="114"/>
      <c r="J77"/>
      <c r="K77"/>
      <c r="L77"/>
      <c r="M77" s="53"/>
      <c r="N77" s="53"/>
      <c r="O77" s="53"/>
      <c r="P77" s="53"/>
      <c r="Q77" s="53"/>
      <c r="R77" s="53"/>
    </row>
    <row r="78" spans="9:18" x14ac:dyDescent="0.25">
      <c r="I78" s="114"/>
      <c r="J78"/>
      <c r="K78"/>
      <c r="L78"/>
      <c r="M78" s="53"/>
      <c r="N78" s="53"/>
      <c r="O78" s="53"/>
      <c r="P78" s="53"/>
      <c r="Q78" s="53"/>
      <c r="R78" s="53"/>
    </row>
    <row r="79" spans="9:18" x14ac:dyDescent="0.25">
      <c r="I79" s="114"/>
      <c r="J79"/>
      <c r="K79"/>
      <c r="L79"/>
      <c r="M79" s="53"/>
      <c r="N79" s="53"/>
      <c r="O79" s="53"/>
      <c r="P79" s="53"/>
      <c r="Q79" s="53"/>
      <c r="R79" s="53"/>
    </row>
    <row r="80" spans="9:18" x14ac:dyDescent="0.25">
      <c r="I80" s="114"/>
      <c r="J80"/>
      <c r="K80"/>
      <c r="L80"/>
      <c r="M80" s="53"/>
      <c r="N80" s="53"/>
      <c r="O80" s="53"/>
      <c r="P80" s="53"/>
      <c r="Q80" s="53"/>
      <c r="R80" s="53"/>
    </row>
    <row r="81" spans="9:28" x14ac:dyDescent="0.25">
      <c r="I81" s="114"/>
      <c r="J81"/>
      <c r="K81"/>
      <c r="L81"/>
      <c r="M81" s="53"/>
      <c r="N81" s="53"/>
      <c r="O81" s="53"/>
      <c r="P81" s="53"/>
      <c r="Q81" s="53"/>
      <c r="R81" s="53"/>
    </row>
    <row r="82" spans="9:28" x14ac:dyDescent="0.25">
      <c r="I82" s="114"/>
      <c r="J82"/>
      <c r="K82"/>
      <c r="L82"/>
      <c r="M82" s="53"/>
      <c r="N82" s="53"/>
      <c r="O82" s="53"/>
      <c r="P82" s="53"/>
      <c r="Q82" s="53"/>
      <c r="R82" s="53"/>
    </row>
    <row r="83" spans="9:28" x14ac:dyDescent="0.25">
      <c r="I83" s="114"/>
      <c r="J83"/>
      <c r="K83"/>
      <c r="L83"/>
      <c r="M83" s="53"/>
      <c r="N83" s="53"/>
      <c r="O83" s="53"/>
      <c r="P83" s="53"/>
      <c r="Q83" s="53"/>
      <c r="R83" s="53"/>
      <c r="Z83" s="97" t="s">
        <v>131</v>
      </c>
      <c r="AA83" s="97"/>
      <c r="AB83" s="97"/>
    </row>
    <row r="84" spans="9:28" x14ac:dyDescent="0.25">
      <c r="I84" s="114"/>
      <c r="J84"/>
      <c r="K84"/>
      <c r="L84"/>
      <c r="M84" s="53"/>
      <c r="N84" s="53"/>
      <c r="O84" s="53"/>
      <c r="P84" s="53"/>
      <c r="Q84" s="53"/>
      <c r="R84" s="53"/>
      <c r="Z84" s="97" t="s">
        <v>132</v>
      </c>
      <c r="AA84" s="97"/>
      <c r="AB84" s="97"/>
    </row>
    <row r="85" spans="9:28" x14ac:dyDescent="0.25">
      <c r="I85" s="114"/>
      <c r="J85"/>
      <c r="K85"/>
      <c r="L85"/>
      <c r="M85" s="53"/>
      <c r="N85" s="53"/>
      <c r="O85" s="53"/>
      <c r="P85" s="53"/>
      <c r="Q85" s="53"/>
      <c r="R85" s="53"/>
      <c r="Z85" s="97" t="s">
        <v>133</v>
      </c>
      <c r="AA85" s="97"/>
      <c r="AB85" s="97"/>
    </row>
    <row r="86" spans="9:28" x14ac:dyDescent="0.25">
      <c r="I86" s="114"/>
      <c r="J86"/>
      <c r="K86"/>
      <c r="L86"/>
      <c r="M86" s="53"/>
      <c r="N86" s="53"/>
      <c r="O86" s="53"/>
      <c r="P86" s="53"/>
      <c r="Q86" s="53"/>
      <c r="R86" s="53"/>
      <c r="Z86" s="97" t="s">
        <v>134</v>
      </c>
      <c r="AA86" s="97"/>
      <c r="AB86" s="97"/>
    </row>
    <row r="87" spans="9:28" x14ac:dyDescent="0.25">
      <c r="I87" s="114"/>
      <c r="J87"/>
      <c r="K87"/>
      <c r="L87"/>
      <c r="M87" s="53"/>
      <c r="N87" s="53"/>
      <c r="O87" s="53"/>
      <c r="P87" s="53"/>
      <c r="Q87" s="53"/>
      <c r="R87" s="53"/>
      <c r="Z87" s="97"/>
      <c r="AA87" s="97"/>
      <c r="AB87" s="97"/>
    </row>
    <row r="88" spans="9:28" x14ac:dyDescent="0.25">
      <c r="I88" s="114"/>
      <c r="J88"/>
      <c r="K88"/>
      <c r="L88"/>
      <c r="M88" s="53"/>
      <c r="N88" s="53"/>
      <c r="O88" s="53"/>
      <c r="P88" s="53"/>
      <c r="Q88" s="53"/>
      <c r="R88" s="53"/>
      <c r="Z88" s="97"/>
      <c r="AA88" s="97"/>
      <c r="AB88" s="97"/>
    </row>
    <row r="89" spans="9:28" x14ac:dyDescent="0.25">
      <c r="I89" s="114"/>
      <c r="J89"/>
      <c r="K89"/>
      <c r="L89"/>
      <c r="M89" s="53"/>
      <c r="N89" s="53"/>
      <c r="O89" s="53"/>
      <c r="P89" s="53"/>
      <c r="Q89" s="53"/>
      <c r="R89" s="53"/>
      <c r="S89" t="s">
        <v>119</v>
      </c>
      <c r="V89" s="98" t="s">
        <v>122</v>
      </c>
      <c r="W89" s="98"/>
      <c r="X89" s="98"/>
      <c r="Z89" s="97" t="s">
        <v>130</v>
      </c>
      <c r="AA89" s="97"/>
      <c r="AB89" s="97"/>
    </row>
    <row r="90" spans="9:28" x14ac:dyDescent="0.25">
      <c r="I90" s="114"/>
      <c r="J90"/>
      <c r="K90"/>
      <c r="L90"/>
      <c r="M90" s="53"/>
      <c r="N90" s="53"/>
      <c r="O90" s="53"/>
      <c r="P90" s="53"/>
      <c r="Q90" s="53"/>
      <c r="R90" s="53"/>
      <c r="S90">
        <v>1.54772E-3</v>
      </c>
      <c r="T90" t="s">
        <v>121</v>
      </c>
      <c r="V90" s="98" t="s">
        <v>123</v>
      </c>
      <c r="W90" s="98" t="s">
        <v>124</v>
      </c>
      <c r="X90" s="98" t="s">
        <v>119</v>
      </c>
      <c r="Z90" s="97" t="s">
        <v>136</v>
      </c>
      <c r="AA90" s="97"/>
      <c r="AB90" s="97"/>
    </row>
    <row r="91" spans="9:28" x14ac:dyDescent="0.25">
      <c r="I91" s="114"/>
      <c r="J91"/>
      <c r="K91"/>
      <c r="L91"/>
      <c r="M91" s="53"/>
      <c r="N91" s="53"/>
      <c r="O91" s="53"/>
      <c r="P91" s="53"/>
      <c r="Q91" s="53"/>
      <c r="R91" s="53"/>
      <c r="S91">
        <v>1.54772E-3</v>
      </c>
      <c r="T91" t="s">
        <v>120</v>
      </c>
      <c r="V91" s="98">
        <v>1</v>
      </c>
      <c r="W91" s="98">
        <f>V91*0.00001602</f>
        <v>1.6019999999999999E-5</v>
      </c>
      <c r="X91" s="98">
        <f>W91/10.28</f>
        <v>1.5583657587548638E-6</v>
      </c>
      <c r="Z91" s="97" t="s">
        <v>128</v>
      </c>
      <c r="AA91" s="97" t="s">
        <v>129</v>
      </c>
      <c r="AB91" s="97" t="s">
        <v>135</v>
      </c>
    </row>
    <row r="92" spans="9:28" x14ac:dyDescent="0.25">
      <c r="I92" s="114"/>
      <c r="J92"/>
      <c r="K92"/>
      <c r="L92"/>
      <c r="M92" s="53"/>
      <c r="N92" s="53"/>
      <c r="O92" s="53"/>
      <c r="P92" s="53"/>
      <c r="Q92" s="53"/>
      <c r="R92" s="53"/>
      <c r="S92" t="e">
        <f>#REF!*$S$90</f>
        <v>#REF!</v>
      </c>
      <c r="V92" s="98">
        <v>120000</v>
      </c>
      <c r="W92" s="98">
        <f>V92*0.00001602</f>
        <v>1.9223999999999999</v>
      </c>
      <c r="X92" s="98">
        <f>W92/10.28</f>
        <v>0.18700389105058365</v>
      </c>
      <c r="Z92" s="97">
        <v>7.201585556047238E-2</v>
      </c>
      <c r="AA92" s="97">
        <f>Z92*2000</f>
        <v>144.03171112094475</v>
      </c>
      <c r="AB92" s="97">
        <f>AA92*S90</f>
        <v>0.2229207599361086</v>
      </c>
    </row>
    <row r="93" spans="9:28" x14ac:dyDescent="0.25">
      <c r="I93" s="114"/>
      <c r="J93"/>
      <c r="K93"/>
      <c r="L93"/>
      <c r="M93" s="53"/>
      <c r="N93" s="53"/>
      <c r="O93" s="53"/>
      <c r="P93" s="53"/>
      <c r="Q93" s="53"/>
      <c r="R93" s="53"/>
      <c r="S93" t="e">
        <f>#REF!*$S$90</f>
        <v>#REF!</v>
      </c>
      <c r="V93" s="129">
        <v>117080</v>
      </c>
      <c r="W93" s="129">
        <f>V93*W91</f>
        <v>1.8756215999999999</v>
      </c>
      <c r="X93" s="129">
        <f>V93*X91</f>
        <v>0.18245346303501944</v>
      </c>
    </row>
    <row r="94" spans="9:28" x14ac:dyDescent="0.25">
      <c r="I94" s="114"/>
      <c r="J94"/>
      <c r="K94"/>
      <c r="L94"/>
      <c r="M94" s="53"/>
      <c r="N94" s="53"/>
      <c r="O94" s="53"/>
      <c r="P94" s="53"/>
      <c r="Q94" s="53"/>
      <c r="R94" s="53"/>
      <c r="S94" t="e">
        <f>#REF!*$S$90</f>
        <v>#REF!</v>
      </c>
      <c r="V94" s="4"/>
      <c r="W94" s="4"/>
      <c r="X94" s="4"/>
    </row>
    <row r="95" spans="9:28" x14ac:dyDescent="0.25">
      <c r="I95" s="114"/>
      <c r="J95"/>
      <c r="K95"/>
      <c r="L95"/>
      <c r="M95" s="53"/>
      <c r="N95" s="53"/>
      <c r="O95" s="53"/>
      <c r="P95" s="53"/>
      <c r="Q95" s="53"/>
      <c r="R95" s="53"/>
      <c r="S95" t="e">
        <f>#REF!*$S$90</f>
        <v>#REF!</v>
      </c>
      <c r="V95" s="7"/>
      <c r="W95" s="7"/>
      <c r="X95" s="7"/>
    </row>
    <row r="96" spans="9:28" x14ac:dyDescent="0.25">
      <c r="I96" s="114"/>
      <c r="J96"/>
      <c r="K96"/>
      <c r="L96"/>
      <c r="M96" s="53"/>
      <c r="N96" s="53"/>
      <c r="O96" s="53"/>
      <c r="P96" s="53"/>
      <c r="Q96" s="53"/>
      <c r="R96" s="53"/>
      <c r="S96" t="e">
        <f>#REF!*$S$90</f>
        <v>#REF!</v>
      </c>
    </row>
    <row r="97" spans="9:29" x14ac:dyDescent="0.25">
      <c r="I97" s="114"/>
      <c r="J97"/>
      <c r="K97"/>
      <c r="L97"/>
      <c r="M97" s="53"/>
      <c r="N97" s="53"/>
      <c r="O97" s="53"/>
      <c r="P97" s="53"/>
      <c r="Q97" s="53"/>
      <c r="R97" s="53"/>
      <c r="S97" t="e">
        <f>#REF!*$S$90</f>
        <v>#REF!</v>
      </c>
      <c r="V97" s="2"/>
    </row>
    <row r="98" spans="9:29" ht="75" x14ac:dyDescent="0.25">
      <c r="I98" s="114"/>
      <c r="J98"/>
      <c r="K98"/>
      <c r="L98"/>
      <c r="M98" s="53"/>
      <c r="N98" s="53"/>
      <c r="O98" s="53"/>
      <c r="P98" s="53"/>
      <c r="Q98" s="53"/>
      <c r="R98" s="53"/>
      <c r="Z98" s="99"/>
      <c r="AA98" s="100" t="s">
        <v>183</v>
      </c>
      <c r="AB98" s="101" t="s">
        <v>184</v>
      </c>
      <c r="AC98" s="101" t="s">
        <v>185</v>
      </c>
    </row>
    <row r="99" spans="9:29" x14ac:dyDescent="0.25">
      <c r="I99" s="114"/>
      <c r="J99"/>
      <c r="K99"/>
      <c r="L99"/>
      <c r="M99" s="53"/>
      <c r="N99" s="53"/>
      <c r="O99" s="53"/>
      <c r="P99" s="53"/>
      <c r="Q99" s="53"/>
      <c r="R99" s="53"/>
      <c r="Z99" s="99"/>
      <c r="AA99" s="102" t="s">
        <v>186</v>
      </c>
      <c r="AB99" s="103" t="s">
        <v>187</v>
      </c>
      <c r="AC99" s="103" t="s">
        <v>188</v>
      </c>
    </row>
    <row r="100" spans="9:29" x14ac:dyDescent="0.25">
      <c r="I100" s="114"/>
      <c r="J100"/>
      <c r="K100"/>
      <c r="L100"/>
      <c r="M100" s="53"/>
      <c r="N100" s="53"/>
      <c r="O100" s="53"/>
      <c r="P100" s="53"/>
      <c r="Q100" s="53"/>
      <c r="R100" s="53"/>
      <c r="Z100" s="99" t="s">
        <v>189</v>
      </c>
      <c r="AA100" s="104">
        <v>1573.6210000000001</v>
      </c>
      <c r="AB100" s="104">
        <v>891.08699999999999</v>
      </c>
      <c r="AC100" s="104">
        <v>1400.8779999999999</v>
      </c>
    </row>
    <row r="101" spans="9:29" x14ac:dyDescent="0.25">
      <c r="I101" s="114"/>
      <c r="J101"/>
      <c r="K101"/>
      <c r="L101"/>
      <c r="M101" s="53"/>
      <c r="N101" s="53"/>
      <c r="O101" s="53"/>
      <c r="P101" s="53"/>
      <c r="Q101" s="53"/>
      <c r="R101" s="53"/>
      <c r="Z101" s="99" t="s">
        <v>119</v>
      </c>
      <c r="AA101" s="99">
        <f>AA100*0.4536/1000</f>
        <v>0.71379448560000003</v>
      </c>
      <c r="AB101" s="99">
        <f t="shared" ref="AB101:AC101" si="0">AB100*0.4536/1000</f>
        <v>0.40419706319999998</v>
      </c>
      <c r="AC101" s="99">
        <f t="shared" si="0"/>
        <v>0.63543826079999999</v>
      </c>
    </row>
    <row r="102" spans="9:29" x14ac:dyDescent="0.25">
      <c r="I102" s="114"/>
      <c r="J102"/>
      <c r="K102"/>
      <c r="L102"/>
      <c r="M102" s="53"/>
      <c r="N102" s="53"/>
      <c r="O102" s="53"/>
      <c r="P102" s="53"/>
      <c r="Q102" s="53"/>
      <c r="R102" s="53"/>
    </row>
    <row r="103" spans="9:29" x14ac:dyDescent="0.25">
      <c r="I103" s="114"/>
      <c r="J103"/>
      <c r="K103"/>
      <c r="L103"/>
      <c r="M103" s="53"/>
      <c r="N103" s="53"/>
      <c r="O103" s="53"/>
      <c r="P103" s="53"/>
      <c r="Q103" s="53"/>
      <c r="R103" s="53"/>
    </row>
    <row r="104" spans="9:29" x14ac:dyDescent="0.25">
      <c r="I104" s="114"/>
      <c r="J104"/>
      <c r="K104"/>
      <c r="L104"/>
      <c r="M104" s="53"/>
      <c r="N104" s="53"/>
      <c r="O104" s="53"/>
      <c r="P104" s="53"/>
      <c r="Q104" s="53"/>
      <c r="R104" s="53"/>
      <c r="AA104" s="97" t="s">
        <v>131</v>
      </c>
      <c r="AB104" s="97"/>
      <c r="AC104" s="97"/>
    </row>
    <row r="105" spans="9:29" x14ac:dyDescent="0.25">
      <c r="I105" s="114"/>
      <c r="J105"/>
      <c r="K105"/>
      <c r="L105"/>
      <c r="M105" s="53"/>
      <c r="N105" s="53"/>
      <c r="O105" s="53"/>
      <c r="P105" s="53"/>
      <c r="Q105" s="53"/>
      <c r="R105" s="53"/>
      <c r="AA105" s="97" t="s">
        <v>132</v>
      </c>
      <c r="AB105" s="97"/>
      <c r="AC105" s="97"/>
    </row>
    <row r="106" spans="9:29" x14ac:dyDescent="0.25">
      <c r="I106" s="114"/>
      <c r="J106"/>
      <c r="K106"/>
      <c r="L106"/>
      <c r="M106" s="53"/>
      <c r="N106" s="53"/>
      <c r="O106" s="53"/>
      <c r="P106" s="53"/>
      <c r="Q106" s="53"/>
      <c r="R106" s="53"/>
      <c r="AA106" s="97" t="s">
        <v>190</v>
      </c>
      <c r="AB106" s="97"/>
      <c r="AC106" s="97"/>
    </row>
    <row r="107" spans="9:29" x14ac:dyDescent="0.25">
      <c r="I107" s="114"/>
      <c r="J107"/>
      <c r="K107"/>
      <c r="L107"/>
      <c r="M107" s="53"/>
      <c r="N107" s="53"/>
      <c r="O107" s="53"/>
      <c r="P107" s="53"/>
      <c r="Q107" s="53"/>
      <c r="R107" s="53"/>
      <c r="AA107" s="97" t="s">
        <v>191</v>
      </c>
      <c r="AB107" s="97"/>
      <c r="AC107" s="97"/>
    </row>
    <row r="108" spans="9:29" x14ac:dyDescent="0.25">
      <c r="I108" s="114"/>
      <c r="J108"/>
      <c r="K108"/>
      <c r="L108"/>
      <c r="M108" s="53"/>
      <c r="N108" s="53"/>
      <c r="O108" s="53"/>
      <c r="P108" s="53"/>
      <c r="Q108" s="53"/>
      <c r="R108" s="53"/>
      <c r="AA108" s="97">
        <v>44250</v>
      </c>
      <c r="AB108" s="97"/>
      <c r="AC108" s="97"/>
    </row>
    <row r="109" spans="9:29" x14ac:dyDescent="0.25">
      <c r="I109" s="114"/>
      <c r="J109"/>
      <c r="K109"/>
      <c r="L109"/>
      <c r="M109" s="53"/>
      <c r="N109" s="53"/>
      <c r="O109" s="53"/>
      <c r="P109" s="53"/>
      <c r="Q109" s="53"/>
      <c r="R109" s="53"/>
      <c r="AA109" s="97"/>
      <c r="AB109" s="97"/>
      <c r="AC109" s="97"/>
    </row>
    <row r="110" spans="9:29" x14ac:dyDescent="0.25">
      <c r="I110" s="114"/>
      <c r="J110"/>
      <c r="K110"/>
      <c r="L110"/>
      <c r="M110" s="53"/>
      <c r="N110" s="53"/>
      <c r="O110" s="53"/>
      <c r="P110" s="53"/>
      <c r="Q110" s="53"/>
      <c r="R110" s="53"/>
      <c r="AA110" s="97" t="s">
        <v>130</v>
      </c>
      <c r="AB110" s="97"/>
      <c r="AC110" s="97"/>
    </row>
    <row r="111" spans="9:29" x14ac:dyDescent="0.25">
      <c r="I111" s="114"/>
      <c r="J111"/>
      <c r="K111"/>
      <c r="L111"/>
      <c r="M111" s="53"/>
      <c r="N111" s="53"/>
      <c r="O111" s="53"/>
      <c r="P111" s="53"/>
      <c r="Q111" s="53"/>
      <c r="R111" s="53"/>
      <c r="AA111" s="97" t="s">
        <v>192</v>
      </c>
      <c r="AB111" s="97"/>
      <c r="AC111" s="97"/>
    </row>
    <row r="112" spans="9:29" x14ac:dyDescent="0.25">
      <c r="I112" s="114"/>
      <c r="J112"/>
      <c r="K112"/>
      <c r="L112"/>
      <c r="M112" s="53"/>
      <c r="N112" s="53"/>
      <c r="O112" s="53"/>
      <c r="P112" s="53"/>
      <c r="Q112" s="53"/>
      <c r="R112" s="53"/>
      <c r="AA112" s="97" t="s">
        <v>128</v>
      </c>
      <c r="AB112" s="97" t="s">
        <v>129</v>
      </c>
      <c r="AC112" s="97" t="s">
        <v>135</v>
      </c>
    </row>
    <row r="113" spans="9:29" x14ac:dyDescent="0.25">
      <c r="I113" s="114"/>
      <c r="J113"/>
      <c r="K113"/>
      <c r="L113"/>
      <c r="M113" s="53"/>
      <c r="N113" s="53"/>
      <c r="O113" s="53"/>
      <c r="P113" s="53"/>
      <c r="Q113" s="53"/>
      <c r="R113" s="53"/>
      <c r="AA113" s="97">
        <v>7.0897450000000001E-2</v>
      </c>
      <c r="AB113" s="97">
        <f>AA113*2000</f>
        <v>141.79490000000001</v>
      </c>
      <c r="AC113" s="97">
        <f>AB113*S90</f>
        <v>0.21945880262800002</v>
      </c>
    </row>
    <row r="114" spans="9:29" x14ac:dyDescent="0.25">
      <c r="I114" s="114"/>
      <c r="J114"/>
      <c r="K114"/>
      <c r="L114"/>
      <c r="M114" s="53"/>
      <c r="N114" s="53"/>
      <c r="O114" s="53"/>
      <c r="P114" s="53"/>
      <c r="Q114" s="53"/>
      <c r="R114" s="53"/>
    </row>
    <row r="115" spans="9:29" x14ac:dyDescent="0.25">
      <c r="I115" s="114"/>
      <c r="J115"/>
      <c r="K115"/>
      <c r="L115"/>
      <c r="M115" s="53"/>
      <c r="N115" s="53"/>
      <c r="O115" s="53"/>
      <c r="P115" s="53"/>
      <c r="Q115" s="53"/>
      <c r="R115" s="53"/>
    </row>
    <row r="116" spans="9:29" x14ac:dyDescent="0.25">
      <c r="I116" s="114"/>
      <c r="J116"/>
      <c r="K116"/>
      <c r="L116"/>
      <c r="M116" s="53"/>
      <c r="N116" s="53"/>
      <c r="O116" s="53"/>
      <c r="P116" s="53"/>
      <c r="Q116" s="53"/>
      <c r="R116" s="53"/>
    </row>
    <row r="117" spans="9:29" x14ac:dyDescent="0.25">
      <c r="I117" s="114"/>
      <c r="J117"/>
      <c r="K117"/>
      <c r="L117"/>
      <c r="M117" s="53"/>
      <c r="N117" s="53"/>
      <c r="O117" s="53"/>
      <c r="P117" s="53"/>
      <c r="Q117" s="53"/>
      <c r="R117" s="53"/>
    </row>
    <row r="118" spans="9:29" x14ac:dyDescent="0.25">
      <c r="I118" s="114"/>
      <c r="J118"/>
      <c r="K118"/>
      <c r="L118"/>
      <c r="M118" s="53"/>
      <c r="N118" s="53"/>
      <c r="O118" s="53"/>
      <c r="P118" s="53"/>
      <c r="Q118" s="53"/>
      <c r="R118" s="53"/>
    </row>
    <row r="119" spans="9:29" x14ac:dyDescent="0.25">
      <c r="I119" s="114"/>
      <c r="J119"/>
      <c r="K119"/>
      <c r="L119"/>
      <c r="M119" s="53"/>
      <c r="N119" s="53"/>
      <c r="O119" s="53"/>
      <c r="P119" s="53"/>
      <c r="Q119" s="53"/>
      <c r="R119" s="53"/>
    </row>
    <row r="120" spans="9:29" x14ac:dyDescent="0.25">
      <c r="I120" s="114"/>
      <c r="J120"/>
      <c r="K120"/>
      <c r="L120"/>
      <c r="M120" s="53"/>
      <c r="N120" s="53"/>
      <c r="O120" s="53"/>
      <c r="P120" s="53"/>
      <c r="Q120" s="53"/>
      <c r="R120" s="53"/>
    </row>
    <row r="121" spans="9:29" x14ac:dyDescent="0.25">
      <c r="I121" s="114"/>
      <c r="J121"/>
      <c r="K121"/>
      <c r="L121"/>
      <c r="M121" s="53"/>
      <c r="N121" s="53"/>
      <c r="O121" s="53"/>
      <c r="P121" s="53"/>
      <c r="Q121" s="53"/>
      <c r="R121" s="53"/>
    </row>
    <row r="122" spans="9:29" x14ac:dyDescent="0.25">
      <c r="I122" s="114"/>
      <c r="J122"/>
      <c r="K122"/>
      <c r="L122"/>
      <c r="M122" s="53"/>
      <c r="N122" s="53"/>
      <c r="O122" s="53"/>
      <c r="P122" s="53"/>
      <c r="Q122" s="53"/>
      <c r="R122" s="53"/>
    </row>
    <row r="123" spans="9:29" x14ac:dyDescent="0.25">
      <c r="I123" s="114"/>
      <c r="J123"/>
      <c r="K123"/>
      <c r="L123"/>
      <c r="M123" s="53"/>
      <c r="N123" s="53"/>
      <c r="O123" s="53"/>
      <c r="P123" s="53"/>
      <c r="Q123" s="53"/>
      <c r="R123" s="53"/>
    </row>
    <row r="124" spans="9:29" x14ac:dyDescent="0.25">
      <c r="I124" s="114"/>
      <c r="J124"/>
      <c r="K124"/>
      <c r="L124"/>
      <c r="M124" s="53"/>
      <c r="N124" s="53"/>
      <c r="O124" s="53"/>
      <c r="P124" s="53"/>
      <c r="Q124" s="53"/>
      <c r="R124" s="53"/>
    </row>
    <row r="125" spans="9:29" x14ac:dyDescent="0.25">
      <c r="I125" s="114"/>
      <c r="J125"/>
      <c r="K125"/>
      <c r="L125"/>
      <c r="M125" s="53"/>
      <c r="N125" s="53"/>
      <c r="O125" s="53"/>
      <c r="P125" s="53"/>
      <c r="Q125" s="53"/>
      <c r="R125" s="53"/>
    </row>
    <row r="126" spans="9:29" x14ac:dyDescent="0.25">
      <c r="I126" s="114"/>
      <c r="J126"/>
      <c r="K126"/>
      <c r="L126"/>
      <c r="M126" s="53"/>
      <c r="N126" s="53"/>
      <c r="O126" s="53"/>
      <c r="P126" s="53"/>
      <c r="Q126" s="53"/>
      <c r="R126" s="53"/>
    </row>
    <row r="127" spans="9:29" x14ac:dyDescent="0.25">
      <c r="I127" s="114"/>
      <c r="J127"/>
      <c r="K127"/>
      <c r="L127"/>
      <c r="M127" s="53"/>
      <c r="N127" s="53"/>
      <c r="O127" s="53"/>
      <c r="P127" s="53"/>
      <c r="Q127" s="53"/>
      <c r="R127" s="53"/>
    </row>
    <row r="128" spans="9:29" x14ac:dyDescent="0.25">
      <c r="I128" s="114"/>
      <c r="J128"/>
      <c r="K128"/>
      <c r="L128"/>
      <c r="M128" s="53"/>
      <c r="N128" s="53"/>
      <c r="O128" s="53"/>
      <c r="P128" s="53"/>
      <c r="Q128" s="53"/>
      <c r="R128" s="53"/>
    </row>
    <row r="129" spans="9:18" x14ac:dyDescent="0.25">
      <c r="I129" s="114"/>
      <c r="J129"/>
      <c r="K129"/>
      <c r="L129"/>
      <c r="M129" s="53"/>
      <c r="N129" s="53"/>
      <c r="O129" s="53"/>
      <c r="P129" s="53"/>
      <c r="Q129" s="53"/>
      <c r="R129" s="53"/>
    </row>
    <row r="130" spans="9:18" x14ac:dyDescent="0.25">
      <c r="I130" s="114"/>
      <c r="J130"/>
      <c r="K130"/>
      <c r="L130"/>
      <c r="M130" s="53"/>
      <c r="N130" s="53"/>
      <c r="O130" s="53"/>
      <c r="P130" s="53"/>
      <c r="Q130" s="53"/>
      <c r="R130" s="53"/>
    </row>
    <row r="131" spans="9:18" x14ac:dyDescent="0.25">
      <c r="I131" s="114"/>
      <c r="J131"/>
      <c r="K131"/>
      <c r="L131"/>
      <c r="M131" s="53"/>
      <c r="N131" s="53"/>
      <c r="O131" s="53"/>
      <c r="P131" s="53"/>
      <c r="Q131" s="53"/>
      <c r="R131" s="53"/>
    </row>
    <row r="132" spans="9:18" x14ac:dyDescent="0.25">
      <c r="I132" s="114"/>
      <c r="J132"/>
      <c r="K132"/>
      <c r="L132"/>
      <c r="M132" s="53"/>
      <c r="N132" s="53"/>
      <c r="O132" s="53"/>
      <c r="P132" s="53"/>
      <c r="Q132" s="53"/>
      <c r="R132" s="53"/>
    </row>
    <row r="133" spans="9:18" x14ac:dyDescent="0.25">
      <c r="I133" s="114"/>
      <c r="J133"/>
      <c r="K133"/>
      <c r="L133"/>
      <c r="M133" s="53"/>
      <c r="N133" s="53"/>
      <c r="O133" s="53"/>
      <c r="P133" s="53"/>
      <c r="Q133" s="53"/>
      <c r="R133" s="53"/>
    </row>
    <row r="134" spans="9:18" x14ac:dyDescent="0.25">
      <c r="I134" s="114"/>
      <c r="J134"/>
      <c r="K134"/>
      <c r="L134"/>
      <c r="M134" s="53"/>
      <c r="N134" s="53"/>
      <c r="O134" s="53"/>
      <c r="P134" s="53"/>
      <c r="Q134" s="53"/>
      <c r="R134" s="53"/>
    </row>
    <row r="135" spans="9:18" x14ac:dyDescent="0.25">
      <c r="I135" s="114"/>
      <c r="J135"/>
      <c r="K135"/>
      <c r="L135"/>
      <c r="M135" s="53"/>
      <c r="N135" s="53"/>
      <c r="O135" s="53"/>
      <c r="P135" s="53"/>
      <c r="Q135" s="53"/>
      <c r="R135" s="53"/>
    </row>
    <row r="136" spans="9:18" x14ac:dyDescent="0.25">
      <c r="I136" s="114"/>
      <c r="J136"/>
      <c r="K136"/>
      <c r="L136"/>
      <c r="M136" s="53"/>
      <c r="N136" s="53"/>
      <c r="O136" s="53"/>
      <c r="P136" s="53"/>
      <c r="Q136" s="53"/>
      <c r="R136" s="53"/>
    </row>
    <row r="137" spans="9:18" x14ac:dyDescent="0.25">
      <c r="I137" s="114"/>
      <c r="J137"/>
      <c r="K137"/>
      <c r="L137"/>
      <c r="M137" s="53"/>
      <c r="N137" s="53"/>
      <c r="O137" s="53"/>
      <c r="P137" s="53"/>
      <c r="Q137" s="53"/>
      <c r="R137" s="53"/>
    </row>
    <row r="138" spans="9:18" x14ac:dyDescent="0.25">
      <c r="I138" s="114"/>
      <c r="J138"/>
      <c r="K138"/>
      <c r="L138"/>
      <c r="M138" s="53"/>
      <c r="N138" s="53"/>
      <c r="O138" s="53"/>
      <c r="P138" s="53"/>
      <c r="Q138" s="53"/>
      <c r="R138" s="53"/>
    </row>
    <row r="139" spans="9:18" x14ac:dyDescent="0.25">
      <c r="I139" s="114"/>
      <c r="J139"/>
      <c r="K139"/>
      <c r="L139"/>
      <c r="M139" s="53"/>
      <c r="N139" s="53"/>
      <c r="O139" s="53"/>
      <c r="P139" s="53"/>
      <c r="Q139" s="53"/>
      <c r="R139" s="53"/>
    </row>
    <row r="140" spans="9:18" x14ac:dyDescent="0.25">
      <c r="I140" s="114"/>
      <c r="J140"/>
      <c r="K140"/>
      <c r="L140"/>
      <c r="M140" s="53"/>
      <c r="N140" s="53"/>
      <c r="O140" s="53"/>
      <c r="P140" s="53"/>
      <c r="Q140" s="53"/>
      <c r="R140" s="53"/>
    </row>
    <row r="141" spans="9:18" x14ac:dyDescent="0.25">
      <c r="I141" s="114"/>
      <c r="J141"/>
      <c r="K141"/>
      <c r="L141"/>
      <c r="M141" s="53"/>
      <c r="N141" s="53"/>
      <c r="O141" s="53"/>
      <c r="P141" s="53"/>
      <c r="Q141" s="53"/>
      <c r="R141" s="53"/>
    </row>
    <row r="142" spans="9:18" x14ac:dyDescent="0.25">
      <c r="I142" s="114"/>
      <c r="J142"/>
      <c r="K142"/>
      <c r="L142"/>
      <c r="M142" s="53"/>
      <c r="N142" s="53"/>
      <c r="O142" s="53"/>
      <c r="P142" s="53"/>
      <c r="Q142" s="53"/>
      <c r="R142" s="53"/>
    </row>
    <row r="143" spans="9:18" x14ac:dyDescent="0.25">
      <c r="I143" s="114"/>
      <c r="J143"/>
      <c r="K143"/>
      <c r="L143"/>
      <c r="M143" s="53"/>
      <c r="N143" s="53"/>
      <c r="O143" s="53"/>
      <c r="P143" s="53"/>
      <c r="Q143" s="53"/>
      <c r="R143" s="53"/>
    </row>
    <row r="144" spans="9:18" x14ac:dyDescent="0.25">
      <c r="I144" s="114"/>
      <c r="J144"/>
      <c r="K144"/>
      <c r="L144"/>
      <c r="M144" s="53"/>
      <c r="N144" s="53"/>
      <c r="O144" s="53"/>
      <c r="P144" s="53"/>
      <c r="Q144" s="53"/>
      <c r="R144" s="53"/>
    </row>
    <row r="145" spans="9:18" x14ac:dyDescent="0.25">
      <c r="I145" s="114"/>
      <c r="J145"/>
      <c r="K145"/>
      <c r="L145"/>
      <c r="M145" s="53"/>
      <c r="N145" s="53"/>
      <c r="O145" s="53"/>
      <c r="P145" s="53"/>
      <c r="Q145" s="53"/>
      <c r="R145" s="53"/>
    </row>
    <row r="146" spans="9:18" x14ac:dyDescent="0.25">
      <c r="I146" s="114"/>
      <c r="J146"/>
      <c r="K146"/>
      <c r="L146"/>
      <c r="M146" s="53"/>
      <c r="N146" s="53"/>
      <c r="O146" s="53"/>
      <c r="P146" s="53"/>
      <c r="Q146" s="53"/>
      <c r="R146" s="53"/>
    </row>
    <row r="147" spans="9:18" x14ac:dyDescent="0.25">
      <c r="I147" s="114"/>
      <c r="J147"/>
      <c r="K147"/>
      <c r="L147"/>
      <c r="M147" s="53"/>
      <c r="N147" s="53"/>
      <c r="O147" s="53"/>
      <c r="P147" s="53"/>
      <c r="Q147" s="53"/>
      <c r="R147" s="53"/>
    </row>
    <row r="148" spans="9:18" x14ac:dyDescent="0.25">
      <c r="I148" s="114"/>
      <c r="J148"/>
      <c r="K148"/>
      <c r="L148"/>
      <c r="M148" s="53"/>
      <c r="N148" s="53"/>
      <c r="O148" s="53"/>
      <c r="P148" s="53"/>
      <c r="Q148" s="53"/>
      <c r="R148" s="53"/>
    </row>
    <row r="149" spans="9:18" x14ac:dyDescent="0.25">
      <c r="I149" s="114"/>
      <c r="J149"/>
      <c r="K149"/>
      <c r="L149"/>
      <c r="M149" s="53"/>
      <c r="N149" s="53"/>
      <c r="O149" s="53"/>
      <c r="P149" s="53"/>
      <c r="Q149" s="53"/>
      <c r="R149" s="53"/>
    </row>
    <row r="150" spans="9:18" x14ac:dyDescent="0.25">
      <c r="I150" s="114"/>
      <c r="J150"/>
      <c r="K150"/>
      <c r="L150"/>
      <c r="M150" s="53"/>
      <c r="N150" s="53"/>
      <c r="O150" s="53"/>
      <c r="P150" s="53"/>
      <c r="Q150" s="53"/>
      <c r="R150" s="53"/>
    </row>
    <row r="151" spans="9:18" x14ac:dyDescent="0.25">
      <c r="I151" s="114"/>
      <c r="J151"/>
      <c r="K151"/>
      <c r="L151"/>
      <c r="M151" s="53"/>
      <c r="N151" s="53"/>
      <c r="O151" s="53"/>
      <c r="P151" s="53"/>
      <c r="Q151" s="53"/>
      <c r="R151" s="53"/>
    </row>
    <row r="152" spans="9:18" x14ac:dyDescent="0.25">
      <c r="I152" s="114"/>
      <c r="J152"/>
      <c r="K152"/>
      <c r="L152"/>
      <c r="M152" s="53"/>
      <c r="N152" s="53"/>
      <c r="O152" s="53"/>
      <c r="P152" s="53"/>
      <c r="Q152" s="53"/>
      <c r="R152" s="53"/>
    </row>
    <row r="153" spans="9:18" x14ac:dyDescent="0.25">
      <c r="I153" s="114"/>
      <c r="J153"/>
      <c r="K153"/>
      <c r="L153"/>
      <c r="M153" s="53"/>
      <c r="N153" s="53"/>
      <c r="O153" s="53"/>
      <c r="P153" s="53"/>
      <c r="Q153" s="53"/>
      <c r="R153" s="53"/>
    </row>
    <row r="154" spans="9:18" x14ac:dyDescent="0.25">
      <c r="I154" s="114"/>
      <c r="J154"/>
      <c r="K154"/>
      <c r="L154"/>
      <c r="M154" s="53"/>
      <c r="N154" s="53"/>
      <c r="O154" s="53"/>
      <c r="P154" s="53"/>
      <c r="Q154" s="53"/>
      <c r="R154" s="53"/>
    </row>
    <row r="155" spans="9:18" x14ac:dyDescent="0.25">
      <c r="I155" s="114"/>
      <c r="J155"/>
      <c r="K155"/>
      <c r="L155"/>
      <c r="M155" s="53"/>
      <c r="N155" s="53"/>
      <c r="O155" s="53"/>
      <c r="P155" s="53"/>
      <c r="Q155" s="53"/>
      <c r="R155" s="53"/>
    </row>
    <row r="156" spans="9:18" x14ac:dyDescent="0.25">
      <c r="I156" s="114"/>
      <c r="J156"/>
      <c r="K156"/>
      <c r="L156"/>
      <c r="M156" s="53"/>
      <c r="N156" s="53"/>
      <c r="O156" s="53"/>
      <c r="P156" s="53"/>
      <c r="Q156" s="53"/>
      <c r="R156" s="53"/>
    </row>
    <row r="157" spans="9:18" x14ac:dyDescent="0.25">
      <c r="I157" s="114"/>
      <c r="J157"/>
      <c r="K157"/>
      <c r="L157"/>
      <c r="M157" s="53"/>
      <c r="N157" s="53"/>
      <c r="O157" s="53"/>
      <c r="P157" s="53"/>
      <c r="Q157" s="53"/>
      <c r="R157" s="53"/>
    </row>
    <row r="158" spans="9:18" x14ac:dyDescent="0.25">
      <c r="I158" s="114"/>
      <c r="J158"/>
      <c r="K158"/>
      <c r="L158"/>
      <c r="M158" s="53"/>
      <c r="N158" s="53"/>
      <c r="O158" s="53"/>
      <c r="P158" s="53"/>
      <c r="Q158" s="53"/>
      <c r="R158" s="53"/>
    </row>
    <row r="159" spans="9:18" x14ac:dyDescent="0.25">
      <c r="I159" s="114"/>
      <c r="J159"/>
      <c r="K159"/>
      <c r="L159"/>
      <c r="M159" s="53"/>
      <c r="N159" s="53"/>
      <c r="O159" s="53"/>
      <c r="P159" s="53"/>
      <c r="Q159" s="53"/>
      <c r="R159" s="53"/>
    </row>
    <row r="160" spans="9:18" x14ac:dyDescent="0.25">
      <c r="I160" s="114"/>
      <c r="J160"/>
      <c r="K160"/>
      <c r="L160"/>
      <c r="M160" s="53"/>
      <c r="N160" s="53"/>
      <c r="O160" s="53"/>
      <c r="P160" s="53"/>
      <c r="Q160" s="53"/>
      <c r="R160" s="53"/>
    </row>
    <row r="161" spans="9:18" x14ac:dyDescent="0.25">
      <c r="I161" s="114"/>
      <c r="J161"/>
      <c r="K161"/>
      <c r="L161"/>
      <c r="M161" s="53"/>
      <c r="N161" s="53"/>
      <c r="O161" s="53"/>
      <c r="P161" s="53"/>
      <c r="Q161" s="53"/>
      <c r="R161" s="53"/>
    </row>
    <row r="162" spans="9:18" x14ac:dyDescent="0.25">
      <c r="I162" s="114"/>
      <c r="J162"/>
      <c r="K162"/>
      <c r="L162"/>
      <c r="M162" s="53"/>
      <c r="N162" s="53"/>
      <c r="O162" s="53"/>
      <c r="P162" s="53"/>
      <c r="Q162" s="53"/>
      <c r="R162" s="53"/>
    </row>
    <row r="163" spans="9:18" x14ac:dyDescent="0.25">
      <c r="I163" s="114"/>
      <c r="J163"/>
      <c r="K163"/>
      <c r="L163"/>
      <c r="M163" s="53"/>
      <c r="N163" s="53"/>
      <c r="O163" s="53"/>
      <c r="P163" s="53"/>
      <c r="Q163" s="53"/>
      <c r="R163" s="53"/>
    </row>
    <row r="164" spans="9:18" x14ac:dyDescent="0.25">
      <c r="I164" s="114"/>
      <c r="J164"/>
      <c r="K164"/>
      <c r="L164"/>
      <c r="M164" s="53"/>
      <c r="N164" s="53"/>
      <c r="O164" s="53"/>
      <c r="P164" s="53"/>
      <c r="Q164" s="53"/>
      <c r="R164" s="53"/>
    </row>
    <row r="165" spans="9:18" x14ac:dyDescent="0.25">
      <c r="I165" s="114"/>
      <c r="J165"/>
      <c r="K165"/>
      <c r="L165"/>
      <c r="M165" s="53"/>
      <c r="N165" s="53"/>
      <c r="O165" s="53"/>
      <c r="P165" s="53"/>
      <c r="Q165" s="53"/>
      <c r="R165" s="53"/>
    </row>
    <row r="166" spans="9:18" x14ac:dyDescent="0.25">
      <c r="I166" s="114"/>
      <c r="J166"/>
      <c r="K166"/>
      <c r="L166"/>
      <c r="M166" s="53"/>
      <c r="N166" s="53"/>
      <c r="O166" s="53"/>
      <c r="P166" s="53"/>
      <c r="Q166" s="53"/>
      <c r="R166" s="53"/>
    </row>
    <row r="167" spans="9:18" x14ac:dyDescent="0.25">
      <c r="I167" s="114"/>
      <c r="J167"/>
      <c r="K167"/>
      <c r="L167"/>
      <c r="M167" s="53"/>
      <c r="N167" s="53"/>
      <c r="O167" s="53"/>
      <c r="P167" s="53"/>
      <c r="Q167" s="53"/>
      <c r="R167" s="53"/>
    </row>
    <row r="168" spans="9:18" x14ac:dyDescent="0.25">
      <c r="I168" s="114"/>
      <c r="J168"/>
      <c r="K168"/>
      <c r="L168"/>
      <c r="M168" s="53"/>
      <c r="N168" s="53"/>
      <c r="O168" s="53"/>
      <c r="P168" s="53"/>
      <c r="Q168" s="53"/>
      <c r="R168" s="53"/>
    </row>
    <row r="169" spans="9:18" x14ac:dyDescent="0.25">
      <c r="I169" s="114"/>
      <c r="J169"/>
      <c r="K169"/>
      <c r="L169"/>
      <c r="M169" s="53"/>
      <c r="N169" s="53"/>
      <c r="O169" s="53"/>
      <c r="P169" s="53"/>
      <c r="Q169" s="53"/>
      <c r="R169" s="53"/>
    </row>
    <row r="170" spans="9:18" x14ac:dyDescent="0.25">
      <c r="I170" s="114"/>
      <c r="J170"/>
      <c r="K170"/>
      <c r="L170"/>
      <c r="M170" s="53"/>
      <c r="N170" s="53"/>
      <c r="O170" s="53"/>
      <c r="P170" s="53"/>
      <c r="Q170" s="53"/>
      <c r="R170" s="53"/>
    </row>
    <row r="171" spans="9:18" x14ac:dyDescent="0.25">
      <c r="I171" s="114"/>
      <c r="J171"/>
      <c r="K171"/>
      <c r="L171"/>
      <c r="M171" s="53"/>
      <c r="N171" s="53"/>
      <c r="O171" s="53"/>
      <c r="P171" s="53"/>
      <c r="Q171" s="53"/>
      <c r="R171" s="53"/>
    </row>
    <row r="172" spans="9:18" x14ac:dyDescent="0.25">
      <c r="I172" s="114"/>
      <c r="J172"/>
      <c r="K172"/>
      <c r="L172"/>
      <c r="M172" s="53"/>
      <c r="N172" s="53"/>
      <c r="O172" s="53"/>
      <c r="P172" s="53"/>
      <c r="Q172" s="53"/>
      <c r="R172" s="53"/>
    </row>
    <row r="173" spans="9:18" x14ac:dyDescent="0.25">
      <c r="I173" s="114"/>
      <c r="J173"/>
      <c r="K173"/>
      <c r="L173"/>
      <c r="M173" s="53"/>
      <c r="N173" s="53"/>
      <c r="O173" s="53"/>
      <c r="P173" s="53"/>
      <c r="Q173" s="53"/>
      <c r="R173" s="53"/>
    </row>
    <row r="174" spans="9:18" x14ac:dyDescent="0.25">
      <c r="I174" s="114"/>
      <c r="J174"/>
      <c r="K174"/>
      <c r="L174"/>
      <c r="M174" s="53"/>
      <c r="N174" s="53"/>
      <c r="O174" s="53"/>
      <c r="P174" s="53"/>
      <c r="Q174" s="53"/>
      <c r="R174" s="53"/>
    </row>
    <row r="175" spans="9:18" x14ac:dyDescent="0.25">
      <c r="I175" s="114"/>
      <c r="J175"/>
      <c r="K175"/>
      <c r="L175"/>
      <c r="M175" s="53"/>
      <c r="N175" s="53"/>
      <c r="O175" s="53"/>
      <c r="P175" s="53"/>
      <c r="Q175" s="53"/>
      <c r="R175" s="53"/>
    </row>
    <row r="176" spans="9:18" x14ac:dyDescent="0.25">
      <c r="I176" s="114"/>
      <c r="J176"/>
      <c r="K176"/>
      <c r="L176"/>
      <c r="M176" s="53"/>
      <c r="N176" s="53"/>
      <c r="O176" s="53"/>
      <c r="P176" s="53"/>
      <c r="Q176" s="53"/>
      <c r="R176" s="53"/>
    </row>
    <row r="177" spans="9:18" x14ac:dyDescent="0.25">
      <c r="I177" s="114"/>
      <c r="J177"/>
      <c r="K177"/>
      <c r="L177"/>
      <c r="M177" s="53"/>
      <c r="N177" s="53"/>
      <c r="O177" s="53"/>
      <c r="P177" s="53"/>
      <c r="Q177" s="53"/>
      <c r="R177" s="53"/>
    </row>
    <row r="178" spans="9:18" x14ac:dyDescent="0.25">
      <c r="I178" s="114"/>
      <c r="J178"/>
      <c r="K178"/>
      <c r="L178"/>
      <c r="M178" s="53"/>
      <c r="N178" s="53"/>
      <c r="O178" s="53"/>
      <c r="P178" s="53"/>
      <c r="Q178" s="53"/>
      <c r="R178" s="53"/>
    </row>
    <row r="179" spans="9:18" x14ac:dyDescent="0.25">
      <c r="I179" s="114"/>
      <c r="J179"/>
      <c r="K179"/>
      <c r="L179"/>
      <c r="M179" s="53"/>
      <c r="N179" s="53"/>
      <c r="O179" s="53"/>
      <c r="P179" s="53"/>
      <c r="Q179" s="53"/>
      <c r="R179" s="53"/>
    </row>
    <row r="180" spans="9:18" x14ac:dyDescent="0.25">
      <c r="I180" s="114"/>
      <c r="J180"/>
      <c r="K180"/>
      <c r="L180"/>
      <c r="M180" s="53"/>
      <c r="N180" s="53"/>
      <c r="O180" s="53"/>
      <c r="P180" s="53"/>
      <c r="Q180" s="53"/>
      <c r="R180" s="53"/>
    </row>
    <row r="181" spans="9:18" x14ac:dyDescent="0.25">
      <c r="I181" s="114"/>
      <c r="J181"/>
      <c r="K181"/>
      <c r="L181"/>
      <c r="M181" s="53"/>
      <c r="N181" s="53"/>
      <c r="O181" s="53"/>
      <c r="P181" s="53"/>
      <c r="Q181" s="53"/>
      <c r="R181" s="53"/>
    </row>
    <row r="182" spans="9:18" x14ac:dyDescent="0.25">
      <c r="I182" s="114"/>
      <c r="J182"/>
      <c r="K182"/>
      <c r="L182"/>
      <c r="M182" s="53"/>
      <c r="N182" s="53"/>
      <c r="O182" s="53"/>
      <c r="P182" s="53"/>
      <c r="Q182" s="53"/>
      <c r="R182" s="53"/>
    </row>
    <row r="183" spans="9:18" x14ac:dyDescent="0.25">
      <c r="I183" s="114"/>
      <c r="J183"/>
      <c r="K183"/>
      <c r="L183"/>
      <c r="M183" s="53"/>
      <c r="N183" s="53"/>
      <c r="O183" s="53"/>
      <c r="P183" s="53"/>
      <c r="Q183" s="53"/>
      <c r="R183" s="53"/>
    </row>
    <row r="184" spans="9:18" x14ac:dyDescent="0.25">
      <c r="I184" s="114"/>
      <c r="J184"/>
      <c r="K184"/>
      <c r="L184"/>
      <c r="M184" s="53"/>
      <c r="N184" s="53"/>
      <c r="O184" s="53"/>
      <c r="P184" s="53"/>
      <c r="Q184" s="53"/>
      <c r="R184" s="53"/>
    </row>
    <row r="185" spans="9:18" x14ac:dyDescent="0.25">
      <c r="I185" s="114"/>
      <c r="J185"/>
      <c r="K185"/>
      <c r="L185"/>
      <c r="M185" s="53"/>
      <c r="N185" s="53"/>
      <c r="O185" s="53"/>
      <c r="P185" s="53"/>
      <c r="Q185" s="53"/>
      <c r="R185" s="53"/>
    </row>
    <row r="186" spans="9:18" x14ac:dyDescent="0.25">
      <c r="I186" s="114"/>
      <c r="J186"/>
      <c r="K186"/>
      <c r="L186"/>
      <c r="M186" s="53"/>
      <c r="N186" s="53"/>
      <c r="O186" s="53"/>
      <c r="P186" s="53"/>
      <c r="Q186" s="53"/>
      <c r="R186" s="53"/>
    </row>
    <row r="187" spans="9:18" x14ac:dyDescent="0.25">
      <c r="I187" s="114"/>
      <c r="J187"/>
      <c r="K187"/>
      <c r="L187"/>
      <c r="M187" s="53"/>
      <c r="N187" s="53"/>
      <c r="O187" s="53"/>
      <c r="P187" s="53"/>
      <c r="Q187" s="53"/>
      <c r="R187" s="53"/>
    </row>
    <row r="188" spans="9:18" x14ac:dyDescent="0.25">
      <c r="I188" s="114"/>
      <c r="J188"/>
      <c r="K188"/>
      <c r="L188"/>
      <c r="M188" s="53"/>
      <c r="N188" s="53"/>
      <c r="O188" s="53"/>
      <c r="P188" s="53"/>
      <c r="Q188" s="53"/>
      <c r="R188" s="53"/>
    </row>
    <row r="189" spans="9:18" x14ac:dyDescent="0.25">
      <c r="I189" s="114"/>
      <c r="J189"/>
      <c r="K189"/>
      <c r="L189"/>
      <c r="M189" s="53"/>
      <c r="N189" s="53"/>
      <c r="O189" s="53"/>
      <c r="P189" s="53"/>
      <c r="Q189" s="53"/>
      <c r="R189" s="53"/>
    </row>
    <row r="190" spans="9:18" x14ac:dyDescent="0.25">
      <c r="I190" s="114"/>
      <c r="J190"/>
      <c r="K190"/>
      <c r="L190"/>
      <c r="M190" s="53"/>
      <c r="N190" s="53"/>
      <c r="O190" s="53"/>
      <c r="P190" s="53"/>
      <c r="Q190" s="53"/>
      <c r="R190" s="53"/>
    </row>
    <row r="191" spans="9:18" x14ac:dyDescent="0.25">
      <c r="I191" s="114"/>
      <c r="J191"/>
      <c r="K191"/>
      <c r="L191"/>
      <c r="M191" s="53"/>
      <c r="N191" s="53"/>
      <c r="O191" s="53"/>
      <c r="P191" s="53"/>
      <c r="Q191" s="53"/>
      <c r="R191" s="53"/>
    </row>
    <row r="192" spans="9:18" x14ac:dyDescent="0.25">
      <c r="I192" s="114"/>
      <c r="J192"/>
      <c r="K192"/>
      <c r="L192"/>
      <c r="M192" s="53"/>
      <c r="N192" s="53"/>
      <c r="O192" s="53"/>
      <c r="P192" s="53"/>
      <c r="Q192" s="53"/>
      <c r="R192" s="53"/>
    </row>
    <row r="193" spans="9:18" x14ac:dyDescent="0.25">
      <c r="I193" s="114"/>
      <c r="J193"/>
      <c r="K193"/>
      <c r="L193"/>
      <c r="M193" s="53"/>
      <c r="N193" s="53"/>
      <c r="O193" s="53"/>
      <c r="P193" s="53"/>
      <c r="Q193" s="53"/>
      <c r="R193" s="53"/>
    </row>
    <row r="194" spans="9:18" x14ac:dyDescent="0.25">
      <c r="I194" s="114"/>
      <c r="J194"/>
      <c r="K194"/>
      <c r="L194"/>
      <c r="M194" s="53"/>
      <c r="N194" s="53"/>
      <c r="O194" s="53"/>
      <c r="P194" s="53"/>
      <c r="Q194" s="53"/>
      <c r="R194" s="53"/>
    </row>
    <row r="195" spans="9:18" x14ac:dyDescent="0.25">
      <c r="I195" s="114"/>
      <c r="J195"/>
      <c r="K195"/>
      <c r="L195"/>
      <c r="M195" s="53"/>
      <c r="N195" s="53"/>
      <c r="O195" s="53"/>
      <c r="P195" s="53"/>
      <c r="Q195" s="53"/>
      <c r="R195" s="53"/>
    </row>
    <row r="196" spans="9:18" x14ac:dyDescent="0.25">
      <c r="I196" s="114"/>
      <c r="J196"/>
      <c r="K196"/>
      <c r="L196"/>
      <c r="M196" s="53"/>
      <c r="N196" s="53"/>
      <c r="O196" s="53"/>
      <c r="P196" s="53"/>
      <c r="Q196" s="53"/>
      <c r="R196" s="53"/>
    </row>
    <row r="197" spans="9:18" x14ac:dyDescent="0.25">
      <c r="I197" s="114"/>
      <c r="J197"/>
      <c r="K197"/>
      <c r="L197"/>
      <c r="M197" s="53"/>
      <c r="N197" s="53"/>
      <c r="O197" s="53"/>
      <c r="P197" s="53"/>
      <c r="Q197" s="53"/>
      <c r="R197" s="53"/>
    </row>
    <row r="198" spans="9:18" x14ac:dyDescent="0.25">
      <c r="I198" s="114"/>
      <c r="J198"/>
      <c r="K198"/>
      <c r="L198"/>
      <c r="M198" s="53"/>
      <c r="N198" s="53"/>
      <c r="O198" s="53"/>
      <c r="P198" s="53"/>
      <c r="Q198" s="53"/>
      <c r="R198" s="53"/>
    </row>
    <row r="199" spans="9:18" x14ac:dyDescent="0.25">
      <c r="I199" s="114"/>
      <c r="J199"/>
      <c r="K199"/>
      <c r="L199"/>
      <c r="M199" s="53"/>
      <c r="N199" s="53"/>
      <c r="O199" s="53"/>
      <c r="P199" s="53"/>
      <c r="Q199" s="53"/>
      <c r="R199" s="53"/>
    </row>
    <row r="200" spans="9:18" x14ac:dyDescent="0.25">
      <c r="I200" s="114"/>
      <c r="J200"/>
      <c r="K200"/>
      <c r="L200"/>
      <c r="M200" s="53"/>
      <c r="N200" s="53"/>
      <c r="O200" s="53"/>
      <c r="P200" s="53"/>
      <c r="Q200" s="53"/>
      <c r="R200" s="53"/>
    </row>
    <row r="201" spans="9:18" x14ac:dyDescent="0.25">
      <c r="I201" s="114"/>
      <c r="J201"/>
      <c r="K201"/>
      <c r="L201"/>
      <c r="M201" s="53"/>
      <c r="N201" s="53"/>
      <c r="O201" s="53"/>
      <c r="P201" s="53"/>
      <c r="Q201" s="53"/>
      <c r="R201" s="53"/>
    </row>
    <row r="202" spans="9:18" x14ac:dyDescent="0.25">
      <c r="I202" s="114"/>
      <c r="J202"/>
      <c r="K202"/>
      <c r="L202"/>
      <c r="M202" s="53"/>
      <c r="N202" s="53"/>
      <c r="O202" s="53"/>
      <c r="P202" s="53"/>
      <c r="Q202" s="53"/>
      <c r="R202" s="53"/>
    </row>
    <row r="203" spans="9:18" x14ac:dyDescent="0.25">
      <c r="I203" s="114"/>
      <c r="J203"/>
      <c r="K203"/>
      <c r="L203"/>
      <c r="M203" s="53"/>
      <c r="N203" s="53"/>
      <c r="O203" s="53"/>
      <c r="P203" s="53"/>
      <c r="Q203" s="53"/>
      <c r="R203" s="53"/>
    </row>
    <row r="204" spans="9:18" x14ac:dyDescent="0.25">
      <c r="I204" s="114"/>
      <c r="J204"/>
      <c r="K204"/>
      <c r="L204"/>
      <c r="M204" s="53"/>
      <c r="N204" s="53"/>
      <c r="O204" s="53"/>
      <c r="P204" s="53"/>
      <c r="Q204" s="53"/>
      <c r="R204" s="53"/>
    </row>
    <row r="205" spans="9:18" x14ac:dyDescent="0.25">
      <c r="I205" s="114"/>
      <c r="J205"/>
      <c r="K205"/>
      <c r="L205"/>
      <c r="M205" s="53"/>
      <c r="N205" s="53"/>
      <c r="O205" s="53"/>
      <c r="P205" s="53"/>
      <c r="Q205" s="53"/>
      <c r="R205" s="53"/>
    </row>
    <row r="206" spans="9:18" x14ac:dyDescent="0.25">
      <c r="I206" s="114"/>
      <c r="J206"/>
      <c r="K206"/>
      <c r="L206"/>
      <c r="M206" s="53"/>
      <c r="N206" s="53"/>
      <c r="O206" s="53"/>
      <c r="P206" s="53"/>
      <c r="Q206" s="53"/>
      <c r="R206" s="53"/>
    </row>
    <row r="207" spans="9:18" x14ac:dyDescent="0.25">
      <c r="I207" s="114"/>
      <c r="J207"/>
      <c r="K207"/>
      <c r="L207"/>
      <c r="M207" s="53"/>
      <c r="N207" s="53"/>
      <c r="O207" s="53"/>
      <c r="P207" s="53"/>
      <c r="Q207" s="53"/>
      <c r="R207" s="53"/>
    </row>
    <row r="208" spans="9:18" x14ac:dyDescent="0.25">
      <c r="I208" s="114"/>
      <c r="J208"/>
      <c r="K208"/>
      <c r="L208"/>
      <c r="M208" s="53"/>
      <c r="N208" s="53"/>
      <c r="O208" s="53"/>
      <c r="P208" s="53"/>
      <c r="Q208" s="53"/>
      <c r="R208" s="53"/>
    </row>
    <row r="209" spans="9:18" x14ac:dyDescent="0.25">
      <c r="I209" s="114"/>
      <c r="J209"/>
      <c r="K209"/>
      <c r="L209"/>
      <c r="M209" s="53"/>
      <c r="N209" s="53"/>
      <c r="O209" s="53"/>
      <c r="P209" s="53"/>
      <c r="Q209" s="53"/>
      <c r="R209" s="53"/>
    </row>
    <row r="210" spans="9:18" x14ac:dyDescent="0.25">
      <c r="I210" s="114"/>
      <c r="J210"/>
      <c r="K210"/>
      <c r="L210"/>
      <c r="M210" s="53"/>
      <c r="N210" s="53"/>
      <c r="O210" s="53"/>
      <c r="P210" s="53"/>
      <c r="Q210" s="53"/>
      <c r="R210" s="53"/>
    </row>
    <row r="211" spans="9:18" x14ac:dyDescent="0.25">
      <c r="I211" s="114"/>
      <c r="J211"/>
      <c r="K211"/>
      <c r="L211"/>
      <c r="M211" s="53"/>
      <c r="N211" s="53"/>
      <c r="O211" s="53"/>
      <c r="P211" s="53"/>
      <c r="Q211" s="53"/>
      <c r="R211" s="53"/>
    </row>
    <row r="212" spans="9:18" x14ac:dyDescent="0.25">
      <c r="I212" s="114"/>
      <c r="J212"/>
      <c r="K212"/>
      <c r="L212"/>
      <c r="M212" s="53"/>
      <c r="N212" s="53"/>
      <c r="O212" s="53"/>
      <c r="P212" s="53"/>
      <c r="Q212" s="53"/>
      <c r="R212" s="53"/>
    </row>
    <row r="213" spans="9:18" x14ac:dyDescent="0.25">
      <c r="I213" s="114"/>
      <c r="J213"/>
      <c r="K213"/>
      <c r="L213"/>
      <c r="M213" s="53"/>
      <c r="N213" s="53"/>
      <c r="O213" s="53"/>
      <c r="P213" s="53"/>
      <c r="Q213" s="53"/>
      <c r="R213" s="53"/>
    </row>
    <row r="214" spans="9:18" x14ac:dyDescent="0.25">
      <c r="I214" s="114"/>
      <c r="J214"/>
      <c r="K214"/>
      <c r="L214"/>
      <c r="M214" s="53"/>
      <c r="N214" s="53"/>
      <c r="O214" s="53"/>
      <c r="P214" s="53"/>
      <c r="Q214" s="53"/>
      <c r="R214" s="53"/>
    </row>
    <row r="215" spans="9:18" x14ac:dyDescent="0.25">
      <c r="I215" s="114"/>
      <c r="J215"/>
      <c r="K215"/>
      <c r="L215"/>
      <c r="M215" s="53"/>
      <c r="N215" s="53"/>
      <c r="O215" s="53"/>
      <c r="P215" s="53"/>
      <c r="Q215" s="53"/>
      <c r="R215" s="53"/>
    </row>
    <row r="216" spans="9:18" x14ac:dyDescent="0.25">
      <c r="I216" s="114"/>
      <c r="J216"/>
      <c r="K216"/>
      <c r="L216"/>
      <c r="M216" s="53"/>
      <c r="N216" s="53"/>
      <c r="O216" s="53"/>
      <c r="P216" s="53"/>
      <c r="Q216" s="53"/>
      <c r="R216" s="53"/>
    </row>
    <row r="217" spans="9:18" x14ac:dyDescent="0.25">
      <c r="I217" s="114"/>
      <c r="J217"/>
      <c r="K217"/>
      <c r="L217"/>
      <c r="M217" s="53"/>
      <c r="N217" s="53"/>
      <c r="O217" s="53"/>
      <c r="P217" s="53"/>
      <c r="Q217" s="53"/>
      <c r="R217" s="53"/>
    </row>
    <row r="218" spans="9:18" x14ac:dyDescent="0.25">
      <c r="I218" s="114"/>
      <c r="J218"/>
      <c r="K218"/>
      <c r="L218"/>
      <c r="M218" s="53"/>
      <c r="N218" s="53"/>
      <c r="O218" s="53"/>
      <c r="P218" s="53"/>
      <c r="Q218" s="53"/>
      <c r="R218" s="53"/>
    </row>
    <row r="219" spans="9:18" x14ac:dyDescent="0.25">
      <c r="I219" s="114"/>
      <c r="J219"/>
      <c r="K219"/>
      <c r="L219"/>
      <c r="M219" s="53"/>
      <c r="N219" s="53"/>
      <c r="O219" s="53"/>
      <c r="P219" s="53"/>
      <c r="Q219" s="53"/>
      <c r="R219" s="53"/>
    </row>
    <row r="220" spans="9:18" x14ac:dyDescent="0.25">
      <c r="I220" s="114"/>
      <c r="J220"/>
      <c r="K220"/>
      <c r="L220"/>
      <c r="M220" s="53"/>
      <c r="N220" s="53"/>
      <c r="O220" s="53"/>
      <c r="P220" s="53"/>
      <c r="Q220" s="53"/>
      <c r="R220" s="53"/>
    </row>
    <row r="221" spans="9:18" x14ac:dyDescent="0.25">
      <c r="I221" s="114"/>
      <c r="J221"/>
      <c r="K221"/>
      <c r="L221"/>
      <c r="M221" s="53"/>
      <c r="N221" s="53"/>
      <c r="O221" s="53"/>
      <c r="P221" s="53"/>
      <c r="Q221" s="53"/>
      <c r="R221" s="53"/>
    </row>
    <row r="222" spans="9:18" x14ac:dyDescent="0.25">
      <c r="I222" s="114"/>
      <c r="J222"/>
      <c r="K222"/>
      <c r="L222"/>
      <c r="M222" s="53"/>
      <c r="N222" s="53"/>
      <c r="O222" s="53"/>
      <c r="P222" s="53"/>
      <c r="Q222" s="53"/>
      <c r="R222" s="53"/>
    </row>
    <row r="223" spans="9:18" x14ac:dyDescent="0.25">
      <c r="I223" s="114"/>
      <c r="J223"/>
      <c r="K223"/>
      <c r="L223"/>
      <c r="M223" s="53"/>
      <c r="N223" s="53"/>
      <c r="O223" s="53"/>
      <c r="P223" s="53"/>
      <c r="Q223" s="53"/>
      <c r="R223" s="53"/>
    </row>
    <row r="224" spans="9:18" x14ac:dyDescent="0.25">
      <c r="I224" s="114"/>
      <c r="J224"/>
      <c r="K224"/>
      <c r="L224"/>
      <c r="M224" s="53"/>
      <c r="N224" s="53"/>
      <c r="O224" s="53"/>
      <c r="P224" s="53"/>
      <c r="Q224" s="53"/>
      <c r="R224" s="53"/>
    </row>
    <row r="225" spans="9:18" x14ac:dyDescent="0.25">
      <c r="I225" s="114"/>
      <c r="J225"/>
      <c r="K225"/>
      <c r="L225"/>
      <c r="M225" s="53"/>
      <c r="N225" s="53"/>
      <c r="O225" s="53"/>
      <c r="P225" s="53"/>
      <c r="Q225" s="53"/>
      <c r="R225" s="53"/>
    </row>
    <row r="226" spans="9:18" x14ac:dyDescent="0.25">
      <c r="I226" s="114"/>
      <c r="J226"/>
      <c r="K226"/>
      <c r="L226"/>
      <c r="M226" s="53"/>
      <c r="N226" s="53"/>
      <c r="O226" s="53"/>
      <c r="P226" s="53"/>
      <c r="Q226" s="53"/>
      <c r="R226" s="53"/>
    </row>
    <row r="227" spans="9:18" x14ac:dyDescent="0.25">
      <c r="I227" s="114"/>
      <c r="J227"/>
      <c r="K227"/>
      <c r="L227"/>
      <c r="M227" s="53"/>
      <c r="N227" s="53"/>
      <c r="O227" s="53"/>
      <c r="P227" s="53"/>
      <c r="Q227" s="53"/>
      <c r="R227" s="53"/>
    </row>
    <row r="228" spans="9:18" x14ac:dyDescent="0.25">
      <c r="I228" s="114"/>
      <c r="J228"/>
      <c r="K228"/>
      <c r="L228"/>
      <c r="M228" s="53"/>
      <c r="N228" s="53"/>
      <c r="O228" s="53"/>
      <c r="P228" s="53"/>
      <c r="Q228" s="53"/>
      <c r="R228" s="53"/>
    </row>
    <row r="229" spans="9:18" x14ac:dyDescent="0.25">
      <c r="I229" s="114"/>
      <c r="J229"/>
      <c r="K229"/>
      <c r="L229"/>
      <c r="M229" s="53"/>
      <c r="N229" s="53"/>
      <c r="O229" s="53"/>
      <c r="P229" s="53"/>
      <c r="Q229" s="53"/>
      <c r="R229" s="53"/>
    </row>
    <row r="230" spans="9:18" x14ac:dyDescent="0.25">
      <c r="I230" s="114"/>
      <c r="J230"/>
      <c r="K230"/>
      <c r="L230"/>
      <c r="M230" s="53"/>
      <c r="N230" s="53"/>
      <c r="O230" s="53"/>
      <c r="P230" s="53"/>
      <c r="Q230" s="53"/>
      <c r="R230" s="53"/>
    </row>
    <row r="231" spans="9:18" x14ac:dyDescent="0.25">
      <c r="I231" s="114"/>
      <c r="J231"/>
      <c r="K231"/>
      <c r="L231"/>
      <c r="M231" s="53"/>
      <c r="N231" s="53"/>
      <c r="O231" s="53"/>
      <c r="P231" s="53"/>
      <c r="Q231" s="53"/>
      <c r="R231" s="53"/>
    </row>
    <row r="232" spans="9:18" x14ac:dyDescent="0.25">
      <c r="I232" s="114"/>
      <c r="J232"/>
      <c r="K232"/>
      <c r="L232"/>
      <c r="M232" s="53"/>
      <c r="N232" s="53"/>
      <c r="O232" s="53"/>
      <c r="P232" s="53"/>
      <c r="Q232" s="53"/>
      <c r="R232" s="53"/>
    </row>
    <row r="233" spans="9:18" x14ac:dyDescent="0.25">
      <c r="I233" s="114"/>
      <c r="J233"/>
      <c r="K233"/>
      <c r="L233"/>
      <c r="M233" s="53"/>
      <c r="N233" s="53"/>
      <c r="O233" s="53"/>
      <c r="P233" s="53"/>
      <c r="Q233" s="53"/>
      <c r="R233" s="53"/>
    </row>
    <row r="234" spans="9:18" x14ac:dyDescent="0.25">
      <c r="I234" s="114"/>
      <c r="J234"/>
      <c r="K234"/>
      <c r="L234"/>
      <c r="M234" s="53"/>
      <c r="N234" s="53"/>
      <c r="O234" s="53"/>
      <c r="P234" s="53"/>
      <c r="Q234" s="53"/>
      <c r="R234" s="53"/>
    </row>
    <row r="235" spans="9:18" x14ac:dyDescent="0.25">
      <c r="I235" s="114"/>
      <c r="J235"/>
      <c r="K235"/>
      <c r="L235"/>
      <c r="M235" s="53"/>
      <c r="N235" s="53"/>
      <c r="O235" s="53"/>
      <c r="P235" s="53"/>
      <c r="Q235" s="53"/>
      <c r="R235" s="53"/>
    </row>
    <row r="236" spans="9:18" x14ac:dyDescent="0.25">
      <c r="I236" s="114"/>
      <c r="J236"/>
      <c r="K236"/>
      <c r="L236"/>
      <c r="M236" s="53"/>
      <c r="N236" s="53"/>
      <c r="O236" s="53"/>
      <c r="P236" s="53"/>
      <c r="Q236" s="53"/>
      <c r="R236" s="53"/>
    </row>
    <row r="237" spans="9:18" x14ac:dyDescent="0.25">
      <c r="I237" s="114"/>
      <c r="J237"/>
      <c r="K237"/>
      <c r="L237"/>
      <c r="M237" s="53"/>
      <c r="N237" s="53"/>
      <c r="O237" s="53"/>
      <c r="P237" s="53"/>
      <c r="Q237" s="53"/>
      <c r="R237" s="53"/>
    </row>
    <row r="238" spans="9:18" x14ac:dyDescent="0.25">
      <c r="I238" s="114"/>
      <c r="J238"/>
      <c r="K238"/>
      <c r="L238"/>
      <c r="M238" s="53"/>
      <c r="N238" s="53"/>
      <c r="O238" s="53"/>
      <c r="P238" s="53"/>
      <c r="Q238" s="53"/>
      <c r="R238" s="53"/>
    </row>
    <row r="239" spans="9:18" x14ac:dyDescent="0.25">
      <c r="I239" s="114"/>
      <c r="J239"/>
      <c r="K239"/>
      <c r="L239"/>
      <c r="M239" s="53"/>
      <c r="N239" s="53"/>
      <c r="O239" s="53"/>
      <c r="P239" s="53"/>
      <c r="Q239" s="53"/>
      <c r="R239" s="53"/>
    </row>
    <row r="240" spans="9:18" x14ac:dyDescent="0.25">
      <c r="I240" s="114"/>
      <c r="J240"/>
      <c r="K240"/>
      <c r="L240"/>
      <c r="M240" s="53"/>
      <c r="N240" s="53"/>
      <c r="O240" s="53"/>
      <c r="P240" s="53"/>
      <c r="Q240" s="53"/>
      <c r="R240" s="53"/>
    </row>
    <row r="241" spans="9:18" x14ac:dyDescent="0.25">
      <c r="I241" s="114"/>
      <c r="J241"/>
      <c r="K241"/>
      <c r="L241"/>
      <c r="M241" s="53"/>
      <c r="N241" s="53"/>
      <c r="O241" s="53"/>
      <c r="P241" s="53"/>
      <c r="Q241" s="53"/>
      <c r="R241" s="53"/>
    </row>
    <row r="242" spans="9:18" x14ac:dyDescent="0.25">
      <c r="I242" s="114"/>
      <c r="J242"/>
      <c r="K242"/>
      <c r="L242"/>
      <c r="M242" s="53"/>
      <c r="N242" s="53"/>
      <c r="O242" s="53"/>
      <c r="P242" s="53"/>
      <c r="Q242" s="53"/>
      <c r="R242" s="53"/>
    </row>
    <row r="243" spans="9:18" x14ac:dyDescent="0.25">
      <c r="I243" s="114"/>
      <c r="J243"/>
      <c r="K243"/>
      <c r="L243"/>
      <c r="M243" s="53"/>
      <c r="N243" s="53"/>
      <c r="O243" s="53"/>
      <c r="P243" s="53"/>
      <c r="Q243" s="53"/>
      <c r="R243" s="53"/>
    </row>
    <row r="244" spans="9:18" x14ac:dyDescent="0.25">
      <c r="I244" s="114"/>
      <c r="J244"/>
      <c r="K244"/>
      <c r="L244"/>
      <c r="M244" s="53"/>
      <c r="N244" s="53"/>
      <c r="O244" s="53"/>
      <c r="P244" s="53"/>
      <c r="Q244" s="53"/>
      <c r="R244" s="53"/>
    </row>
    <row r="245" spans="9:18" x14ac:dyDescent="0.25">
      <c r="I245" s="114"/>
      <c r="J245"/>
      <c r="K245"/>
      <c r="L245"/>
      <c r="M245" s="53"/>
      <c r="N245" s="53"/>
      <c r="O245" s="53"/>
      <c r="P245" s="53"/>
      <c r="Q245" s="53"/>
      <c r="R245" s="53"/>
    </row>
    <row r="246" spans="9:18" x14ac:dyDescent="0.25">
      <c r="I246" s="114"/>
      <c r="J246"/>
      <c r="K246"/>
      <c r="L246"/>
      <c r="M246" s="53"/>
      <c r="N246" s="53"/>
      <c r="O246" s="53"/>
      <c r="P246" s="53"/>
      <c r="Q246" s="53"/>
      <c r="R246" s="53"/>
    </row>
    <row r="247" spans="9:18" x14ac:dyDescent="0.25">
      <c r="I247" s="114"/>
      <c r="J247"/>
      <c r="K247"/>
      <c r="L247"/>
      <c r="M247" s="53"/>
      <c r="N247" s="53"/>
      <c r="O247" s="53"/>
      <c r="P247" s="53"/>
      <c r="Q247" s="53"/>
      <c r="R247" s="53"/>
    </row>
    <row r="248" spans="9:18" x14ac:dyDescent="0.25">
      <c r="I248" s="114"/>
      <c r="J248"/>
      <c r="K248"/>
      <c r="L248"/>
      <c r="M248" s="53"/>
      <c r="N248" s="53"/>
      <c r="O248" s="53"/>
      <c r="P248" s="53"/>
      <c r="Q248" s="53"/>
      <c r="R248" s="53"/>
    </row>
    <row r="249" spans="9:18" x14ac:dyDescent="0.25">
      <c r="I249" s="114"/>
      <c r="J249"/>
      <c r="K249"/>
      <c r="L249"/>
      <c r="M249" s="53"/>
      <c r="N249" s="53"/>
      <c r="O249" s="53"/>
      <c r="P249" s="53"/>
      <c r="Q249" s="53"/>
      <c r="R249" s="53"/>
    </row>
    <row r="250" spans="9:18" x14ac:dyDescent="0.25">
      <c r="I250" s="114"/>
      <c r="J250"/>
      <c r="K250"/>
      <c r="L250"/>
      <c r="M250" s="53"/>
      <c r="N250" s="53"/>
      <c r="O250" s="53"/>
      <c r="P250" s="53"/>
      <c r="Q250" s="53"/>
      <c r="R250" s="53"/>
    </row>
    <row r="251" spans="9:18" x14ac:dyDescent="0.25">
      <c r="I251" s="114"/>
      <c r="J251"/>
      <c r="K251"/>
      <c r="L251"/>
      <c r="M251" s="53"/>
      <c r="N251" s="53"/>
      <c r="O251" s="53"/>
      <c r="P251" s="53"/>
      <c r="Q251" s="53"/>
      <c r="R251" s="53"/>
    </row>
  </sheetData>
  <conditionalFormatting sqref="Y2:Y44 T43">
    <cfRule type="duplicateValues" dxfId="40" priority="2"/>
  </conditionalFormatting>
  <conditionalFormatting sqref="S43 Z2:Z44">
    <cfRule type="duplicateValues" dxfId="39" priority="1"/>
  </conditionalFormatting>
  <dataValidations disablePrompts="1" count="1">
    <dataValidation allowBlank="1" showInputMessage="1" showErrorMessage="1" promptTitle="industrial consumer without tax" prompt="Average national price in Euro per kWh without taxes applicable for the first semester of each year for medium size industrial consumers (Consumption Band Ic with annual consumption between 500 and 2000 MWh)" sqref="H1" xr:uid="{658A545D-7773-4417-A8F9-F47D9E7EEA7B}"/>
  </dataValidations>
  <pageMargins left="0.7" right="0.7" top="0.78740157499999996" bottom="0.78740157499999996" header="0.3" footer="0.3"/>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3AA58-4E0D-438A-BF65-555A9F246AD4}">
  <sheetPr codeName="Tabelle17"/>
  <dimension ref="A1:I44"/>
  <sheetViews>
    <sheetView zoomScaleNormal="100" workbookViewId="0">
      <selection activeCell="C1" sqref="C1"/>
    </sheetView>
  </sheetViews>
  <sheetFormatPr baseColWidth="10" defaultRowHeight="15" x14ac:dyDescent="0.25"/>
  <cols>
    <col min="1" max="1" width="12.7109375" bestFit="1" customWidth="1"/>
    <col min="3" max="3" width="15.85546875" bestFit="1" customWidth="1"/>
    <col min="4" max="4" width="15.85546875" customWidth="1"/>
    <col min="5" max="5" width="17.140625" bestFit="1" customWidth="1"/>
    <col min="6" max="7" width="29.85546875" customWidth="1"/>
    <col min="8" max="8" width="15.42578125" bestFit="1" customWidth="1"/>
    <col min="9" max="9" width="3" bestFit="1" customWidth="1"/>
  </cols>
  <sheetData>
    <row r="1" spans="1:9" x14ac:dyDescent="0.25">
      <c r="A1" t="s">
        <v>713</v>
      </c>
      <c r="C1" t="s">
        <v>717</v>
      </c>
      <c r="D1" t="s">
        <v>715</v>
      </c>
      <c r="E1" t="s">
        <v>716</v>
      </c>
      <c r="F1" t="s">
        <v>714</v>
      </c>
    </row>
    <row r="2" spans="1:9" x14ac:dyDescent="0.25">
      <c r="A2" t="s">
        <v>222</v>
      </c>
      <c r="B2" s="118" t="s">
        <v>669</v>
      </c>
      <c r="C2" t="str">
        <f t="array" ref="C2">IF(COUNTIF(RegionTable[[#This Row],[region]],#REF!&amp;"*")&gt;0,TRUE,"")</f>
        <v/>
      </c>
      <c r="D2">
        <f t="array" ref="D2:D44">MATCH(ROW(RegionTable[electricity_region]),ROW(RegionTable[electricity_region]))</f>
        <v>1</v>
      </c>
      <c r="E2" t="str">
        <f>IFERROR(C2*D2," ")</f>
        <v xml:space="preserve"> </v>
      </c>
      <c r="F2" t="str">
        <f>IFERROR(INDEX(RegionTable[electricity_region],SMALL($E$2:$E$44,ROWS($A$1:A1)),COLUMN((A1))),"")</f>
        <v/>
      </c>
    </row>
    <row r="3" spans="1:9" x14ac:dyDescent="0.25">
      <c r="A3" t="s">
        <v>248</v>
      </c>
      <c r="B3" s="118"/>
      <c r="C3" t="str">
        <f t="array" ref="C3">IF(COUNTIF(RegionTable[[#This Row],[region]],#REF!&amp;"*")&gt;0,TRUE,"")</f>
        <v/>
      </c>
      <c r="D3">
        <v>2</v>
      </c>
      <c r="E3" t="str">
        <f t="shared" ref="E3:E44" si="0">IFERROR(C3*D3," ")</f>
        <v xml:space="preserve"> </v>
      </c>
      <c r="F3" t="str">
        <f t="array" ref="F3">IFERROR(INDEX(RegionTable[electricity_region],SMALL($E$2:$E$44,ROWS($A$1:A2)),COLUMN((A2))),"")</f>
        <v/>
      </c>
      <c r="H3" s="274" t="s">
        <v>724</v>
      </c>
      <c r="I3" s="274"/>
    </row>
    <row r="4" spans="1:9" x14ac:dyDescent="0.25">
      <c r="A4" t="s">
        <v>235</v>
      </c>
      <c r="B4" s="118" t="s">
        <v>670</v>
      </c>
      <c r="C4" t="str">
        <f t="array" ref="C4">IF(COUNTIF(RegionTable[[#This Row],[region]],#REF!&amp;"*")&gt;0,TRUE,"")</f>
        <v/>
      </c>
      <c r="D4">
        <v>3</v>
      </c>
      <c r="E4" t="str">
        <f>IFERROR(C4*D4," ")</f>
        <v xml:space="preserve"> </v>
      </c>
      <c r="F4" t="str">
        <f t="array" ref="F4">IFERROR(INDEX(RegionTable[electricity_region],SMALL($E$2:$E$44,ROWS($A$1:A3)),COLUMN((A3))),"")</f>
        <v/>
      </c>
      <c r="H4" s="120" t="s">
        <v>722</v>
      </c>
      <c r="I4" s="120">
        <f>COUNTA(RegionFilterTable[])</f>
        <v>43</v>
      </c>
    </row>
    <row r="5" spans="1:9" x14ac:dyDescent="0.25">
      <c r="A5" t="s">
        <v>260</v>
      </c>
      <c r="B5" s="118" t="s">
        <v>671</v>
      </c>
      <c r="C5" t="str">
        <f t="array" ref="C5">IF(COUNTIF(RegionTable[[#This Row],[region]],#REF!&amp;"*")&gt;0,TRUE,"")</f>
        <v/>
      </c>
      <c r="D5">
        <v>4</v>
      </c>
      <c r="E5" t="str">
        <f t="shared" si="0"/>
        <v xml:space="preserve"> </v>
      </c>
      <c r="F5" t="str">
        <f t="array" ref="F5">IFERROR(INDEX(RegionTable[electricity_region],SMALL($E$2:$E$44,ROWS($A$1:A4)),COLUMN((A4))),"")</f>
        <v/>
      </c>
      <c r="H5" s="120" t="s">
        <v>721</v>
      </c>
      <c r="I5" s="120">
        <f>COUNTBLANK(RegionFilterTable[])</f>
        <v>43</v>
      </c>
    </row>
    <row r="6" spans="1:9" x14ac:dyDescent="0.25">
      <c r="A6" t="s">
        <v>600</v>
      </c>
      <c r="B6" s="118" t="s">
        <v>116</v>
      </c>
      <c r="C6" t="str">
        <f t="array" ref="C6">IF(COUNTIF(RegionTable[[#This Row],[region]],#REF!&amp;"*")&gt;0,TRUE,"")</f>
        <v/>
      </c>
      <c r="D6">
        <v>5</v>
      </c>
      <c r="E6" t="str">
        <f t="shared" si="0"/>
        <v xml:space="preserve"> </v>
      </c>
      <c r="F6" t="str">
        <f t="array" ref="F6">IFERROR(INDEX(RegionTable[electricity_region],SMALL($E$2:$E$44,ROWS($A$1:A5)),COLUMN((A5))),"")</f>
        <v/>
      </c>
      <c r="H6" s="120" t="s">
        <v>723</v>
      </c>
      <c r="I6" s="120">
        <f>I4-I5</f>
        <v>0</v>
      </c>
    </row>
    <row r="7" spans="1:9" x14ac:dyDescent="0.25">
      <c r="A7" t="s">
        <v>306</v>
      </c>
      <c r="B7" s="118" t="s">
        <v>115</v>
      </c>
      <c r="C7" t="str">
        <f t="array" ref="C7">IF(COUNTIF(RegionTable[[#This Row],[region]],#REF!&amp;"*")&gt;0,TRUE,"")</f>
        <v/>
      </c>
      <c r="D7">
        <v>6</v>
      </c>
      <c r="E7" t="str">
        <f t="shared" si="0"/>
        <v xml:space="preserve"> </v>
      </c>
      <c r="F7" t="str">
        <f t="array" ref="F7">IFERROR(INDEX(RegionTable[electricity_region],SMALL($E$2:$E$44,ROWS($A$1:A6)),COLUMN((A6))),"")</f>
        <v/>
      </c>
    </row>
    <row r="8" spans="1:9" x14ac:dyDescent="0.25">
      <c r="A8" t="s">
        <v>307</v>
      </c>
      <c r="B8" s="118" t="s">
        <v>114</v>
      </c>
      <c r="C8" t="str">
        <f t="array" ref="C8">IF(COUNTIF(RegionTable[[#This Row],[region]],#REF!&amp;"*")&gt;0,TRUE,"")</f>
        <v/>
      </c>
      <c r="D8">
        <v>7</v>
      </c>
      <c r="E8" t="str">
        <f t="shared" si="0"/>
        <v xml:space="preserve"> </v>
      </c>
      <c r="F8" t="str">
        <f t="array" ref="F8">IFERROR(INDEX(RegionTable[electricity_region],SMALL($E$2:$E$44,ROWS($A$1:A7)),COLUMN((A7))),"")</f>
        <v/>
      </c>
    </row>
    <row r="9" spans="1:9" x14ac:dyDescent="0.25">
      <c r="A9" t="s">
        <v>348</v>
      </c>
      <c r="B9" s="118" t="s">
        <v>113</v>
      </c>
      <c r="C9" t="str">
        <f t="array" ref="C9">IF(COUNTIF(RegionTable[[#This Row],[region]],#REF!&amp;"*")&gt;0,TRUE,"")</f>
        <v/>
      </c>
      <c r="D9">
        <v>8</v>
      </c>
      <c r="E9" t="str">
        <f t="shared" si="0"/>
        <v xml:space="preserve"> </v>
      </c>
      <c r="F9" t="str">
        <f t="array" ref="F9">IFERROR(INDEX(RegionTable[electricity_region],SMALL($E$2:$E$44,ROWS($A$1:A8)),COLUMN((A8))),"")</f>
        <v/>
      </c>
    </row>
    <row r="10" spans="1:9" x14ac:dyDescent="0.25">
      <c r="A10" t="s">
        <v>308</v>
      </c>
      <c r="B10" s="118" t="s">
        <v>673</v>
      </c>
      <c r="C10" t="str">
        <f t="array" ref="C10">IF(COUNTIF(RegionTable[[#This Row],[region]],#REF!&amp;"*")&gt;0,TRUE,"")</f>
        <v/>
      </c>
      <c r="D10">
        <v>9</v>
      </c>
      <c r="E10" t="str">
        <f t="shared" si="0"/>
        <v xml:space="preserve"> </v>
      </c>
      <c r="F10" t="str">
        <f t="array" ref="F10">IFERROR(INDEX(RegionTable[electricity_region],SMALL($E$2:$E$44,ROWS($A$1:A9)),COLUMN((A9))),"")</f>
        <v/>
      </c>
    </row>
    <row r="11" spans="1:9" x14ac:dyDescent="0.25">
      <c r="A11" t="s">
        <v>325</v>
      </c>
      <c r="B11" s="118" t="s">
        <v>674</v>
      </c>
      <c r="C11" t="str">
        <f t="array" ref="C11">IF(COUNTIF(RegionTable[[#This Row],[region]],#REF!&amp;"*")&gt;0,TRUE,"")</f>
        <v/>
      </c>
      <c r="D11">
        <v>10</v>
      </c>
      <c r="E11" t="str">
        <f t="shared" si="0"/>
        <v xml:space="preserve"> </v>
      </c>
      <c r="F11" t="str">
        <f t="array" ref="F11">IFERROR(INDEX(RegionTable[electricity_region],SMALL($E$2:$E$44,ROWS($A$1:A10)),COLUMN((A10))),"")</f>
        <v/>
      </c>
    </row>
    <row r="12" spans="1:9" x14ac:dyDescent="0.25">
      <c r="A12" t="s">
        <v>588</v>
      </c>
      <c r="B12" s="118" t="s">
        <v>140</v>
      </c>
      <c r="C12" t="str">
        <f t="array" ref="C12">IF(COUNTIF(RegionTable[[#This Row],[region]],#REF!&amp;"*")&gt;0,TRUE,"")</f>
        <v/>
      </c>
      <c r="D12">
        <v>11</v>
      </c>
      <c r="E12" t="str">
        <f t="shared" si="0"/>
        <v xml:space="preserve"> </v>
      </c>
      <c r="F12" t="str">
        <f t="array" ref="F12">IFERROR(INDEX(RegionTable[electricity_region],SMALL($E$2:$E$44,ROWS($A$1:A11)),COLUMN((A11))),"")</f>
        <v/>
      </c>
    </row>
    <row r="13" spans="1:9" x14ac:dyDescent="0.25">
      <c r="A13" t="s">
        <v>725</v>
      </c>
      <c r="B13" s="118" t="s">
        <v>675</v>
      </c>
      <c r="C13" t="str">
        <f t="array" ref="C13">IF(COUNTIF(RegionTable[[#This Row],[region]],#REF!&amp;"*")&gt;0,TRUE,"")</f>
        <v/>
      </c>
      <c r="D13">
        <v>12</v>
      </c>
      <c r="E13" t="str">
        <f t="shared" si="0"/>
        <v xml:space="preserve"> </v>
      </c>
      <c r="F13" t="str">
        <f t="array" ref="F13">IFERROR(INDEX(RegionTable[electricity_region],SMALL($E$2:$E$44,ROWS($A$1:A12)),COLUMN((A12))),"")</f>
        <v/>
      </c>
    </row>
    <row r="14" spans="1:9" x14ac:dyDescent="0.25">
      <c r="A14" t="s">
        <v>334</v>
      </c>
      <c r="B14" s="118" t="s">
        <v>676</v>
      </c>
      <c r="C14" t="str">
        <f t="array" ref="C14">IF(COUNTIF(RegionTable[[#This Row],[region]],#REF!&amp;"*")&gt;0,TRUE,"")</f>
        <v/>
      </c>
      <c r="D14">
        <v>13</v>
      </c>
      <c r="E14" t="str">
        <f t="shared" si="0"/>
        <v xml:space="preserve"> </v>
      </c>
      <c r="F14" t="str">
        <f t="array" ref="F14">IFERROR(INDEX(RegionTable[electricity_region],SMALL($E$2:$E$44,ROWS($A$1:A13)),COLUMN((A13))),"")</f>
        <v/>
      </c>
    </row>
    <row r="15" spans="1:9" x14ac:dyDescent="0.25">
      <c r="A15" t="s">
        <v>335</v>
      </c>
      <c r="B15" s="118" t="s">
        <v>694</v>
      </c>
      <c r="C15" t="str">
        <f t="array" ref="C15">IF(COUNTIF(RegionTable[[#This Row],[region]],#REF!&amp;"*")&gt;0,TRUE,"")</f>
        <v/>
      </c>
      <c r="D15">
        <v>14</v>
      </c>
      <c r="E15" t="str">
        <f t="shared" si="0"/>
        <v xml:space="preserve"> </v>
      </c>
      <c r="F15" t="str">
        <f t="array" ref="F15">IFERROR(INDEX(RegionTable[electricity_region],SMALL($E$2:$E$44,ROWS($A$1:A14)),COLUMN((A14))),"")</f>
        <v/>
      </c>
    </row>
    <row r="16" spans="1:9" x14ac:dyDescent="0.25">
      <c r="A16" t="s">
        <v>346</v>
      </c>
      <c r="B16" s="118" t="s">
        <v>677</v>
      </c>
      <c r="C16" t="str">
        <f t="array" ref="C16">IF(COUNTIF(RegionTable[[#This Row],[region]],#REF!&amp;"*")&gt;0,TRUE,"")</f>
        <v/>
      </c>
      <c r="D16">
        <v>15</v>
      </c>
      <c r="E16" t="str">
        <f t="shared" si="0"/>
        <v xml:space="preserve"> </v>
      </c>
      <c r="F16" t="str">
        <f t="array" ref="F16">IFERROR(INDEX(RegionTable[electricity_region],SMALL($E$2:$E$44,ROWS($A$1:A15)),COLUMN((A15))),"")</f>
        <v/>
      </c>
    </row>
    <row r="17" spans="1:6" x14ac:dyDescent="0.25">
      <c r="A17" t="s">
        <v>353</v>
      </c>
      <c r="B17" s="118" t="s">
        <v>678</v>
      </c>
      <c r="C17" t="str">
        <f t="array" ref="C17">IF(COUNTIF(RegionTable[[#This Row],[region]],#REF!&amp;"*")&gt;0,TRUE,"")</f>
        <v/>
      </c>
      <c r="D17">
        <v>16</v>
      </c>
      <c r="E17" t="str">
        <f t="shared" si="0"/>
        <v xml:space="preserve"> </v>
      </c>
      <c r="F17" t="str">
        <f t="array" ref="F17">IFERROR(INDEX(RegionTable[electricity_region],SMALL($E$2:$E$44,ROWS($A$1:A16)),COLUMN((A16))),"")</f>
        <v/>
      </c>
    </row>
    <row r="18" spans="1:6" x14ac:dyDescent="0.25">
      <c r="A18" t="s">
        <v>301</v>
      </c>
      <c r="B18" s="118" t="s">
        <v>137</v>
      </c>
      <c r="C18" t="str">
        <f t="array" ref="C18">IF(COUNTIF(RegionTable[[#This Row],[region]],#REF!&amp;"*")&gt;0,TRUE,"")</f>
        <v/>
      </c>
      <c r="D18">
        <v>17</v>
      </c>
      <c r="E18" t="str">
        <f t="shared" si="0"/>
        <v xml:space="preserve"> </v>
      </c>
      <c r="F18" t="str">
        <f t="array" ref="F18">IFERROR(INDEX(RegionTable[electricity_region],SMALL($E$2:$E$44,ROWS($A$1:A17)),COLUMN((A17))),"")</f>
        <v/>
      </c>
    </row>
    <row r="19" spans="1:6" x14ac:dyDescent="0.25">
      <c r="A19" t="s">
        <v>382</v>
      </c>
      <c r="B19" s="118"/>
      <c r="C19" t="str">
        <f t="array" ref="C19">IF(COUNTIF(RegionTable[[#This Row],[region]],#REF!&amp;"*")&gt;0,TRUE,"")</f>
        <v/>
      </c>
      <c r="D19">
        <v>18</v>
      </c>
      <c r="E19" t="str">
        <f t="shared" si="0"/>
        <v xml:space="preserve"> </v>
      </c>
      <c r="F19" t="str">
        <f t="array" ref="F19">IFERROR(INDEX(RegionTable[electricity_region],SMALL($E$2:$E$44,ROWS($A$1:A18)),COLUMN((A18))),"")</f>
        <v/>
      </c>
    </row>
    <row r="20" spans="1:6" x14ac:dyDescent="0.25">
      <c r="A20" t="s">
        <v>392</v>
      </c>
      <c r="B20" s="118" t="s">
        <v>679</v>
      </c>
      <c r="C20" t="str">
        <f t="array" ref="C20">IF(COUNTIF(RegionTable[[#This Row],[region]],#REF!&amp;"*")&gt;0,TRUE,"")</f>
        <v/>
      </c>
      <c r="D20">
        <v>19</v>
      </c>
      <c r="E20" t="str">
        <f t="shared" si="0"/>
        <v xml:space="preserve"> </v>
      </c>
      <c r="F20" t="str">
        <f t="array" ref="F20">IFERROR(INDEX(RegionTable[electricity_region],SMALL($E$2:$E$44,ROWS($A$1:A19)),COLUMN((A19))),"")</f>
        <v/>
      </c>
    </row>
    <row r="21" spans="1:6" x14ac:dyDescent="0.25">
      <c r="A21" t="s">
        <v>383</v>
      </c>
      <c r="B21" s="118" t="s">
        <v>672</v>
      </c>
      <c r="C21" t="str">
        <f t="array" ref="C21">IF(COUNTIF(RegionTable[[#This Row],[region]],#REF!&amp;"*")&gt;0,TRUE,"")</f>
        <v/>
      </c>
      <c r="D21">
        <v>20</v>
      </c>
      <c r="E21" t="str">
        <f t="shared" si="0"/>
        <v xml:space="preserve"> </v>
      </c>
      <c r="F21" t="str">
        <f t="array" ref="F21">IFERROR(INDEX(RegionTable[electricity_region],SMALL($E$2:$E$44,ROWS($A$1:A20)),COLUMN((A20))),"")</f>
        <v/>
      </c>
    </row>
    <row r="22" spans="1:6" x14ac:dyDescent="0.25">
      <c r="A22" t="s">
        <v>138</v>
      </c>
      <c r="B22" s="118" t="s">
        <v>680</v>
      </c>
      <c r="C22" t="str">
        <f t="array" ref="C22">IF(COUNTIF(RegionTable[[#This Row],[region]],#REF!&amp;"*")&gt;0,TRUE,"")</f>
        <v/>
      </c>
      <c r="D22">
        <v>21</v>
      </c>
      <c r="E22" t="str">
        <f t="shared" si="0"/>
        <v xml:space="preserve"> </v>
      </c>
      <c r="F22" t="str">
        <f t="array" ref="F22">IFERROR(INDEX(RegionTable[electricity_region],SMALL($E$2:$E$44,ROWS($A$1:A21)),COLUMN((A21))),"")</f>
        <v/>
      </c>
    </row>
    <row r="23" spans="1:6" x14ac:dyDescent="0.25">
      <c r="A23" t="s">
        <v>432</v>
      </c>
      <c r="B23" s="118" t="s">
        <v>682</v>
      </c>
      <c r="C23" t="str">
        <f t="array" ref="C23">IF(COUNTIF(RegionTable[[#This Row],[region]],#REF!&amp;"*")&gt;0,TRUE,"")</f>
        <v/>
      </c>
      <c r="D23">
        <v>22</v>
      </c>
      <c r="E23" t="str">
        <f t="shared" si="0"/>
        <v xml:space="preserve"> </v>
      </c>
      <c r="F23" t="str">
        <f t="array" ref="F23">IFERROR(INDEX(RegionTable[electricity_region],SMALL($E$2:$E$44,ROWS($A$1:A22)),COLUMN((A22))),"")</f>
        <v/>
      </c>
    </row>
    <row r="24" spans="1:6" x14ac:dyDescent="0.25">
      <c r="A24" t="s">
        <v>434</v>
      </c>
      <c r="B24" s="118" t="s">
        <v>681</v>
      </c>
      <c r="C24" t="str">
        <f t="array" ref="C24">IF(COUNTIF(RegionTable[[#This Row],[region]],#REF!&amp;"*")&gt;0,TRUE,"")</f>
        <v/>
      </c>
      <c r="D24">
        <v>23</v>
      </c>
      <c r="E24" t="str">
        <f t="shared" si="0"/>
        <v xml:space="preserve"> </v>
      </c>
      <c r="F24" t="str">
        <f t="array" ref="F24">IFERROR(INDEX(RegionTable[electricity_region],SMALL($E$2:$E$44,ROWS($A$1:A23)),COLUMN((A23))),"")</f>
        <v/>
      </c>
    </row>
    <row r="25" spans="1:6" x14ac:dyDescent="0.25">
      <c r="A25" t="s">
        <v>435</v>
      </c>
      <c r="B25" s="118" t="s">
        <v>139</v>
      </c>
      <c r="C25" t="str">
        <f t="array" ref="C25">IF(COUNTIF(RegionTable[[#This Row],[region]],#REF!&amp;"*")&gt;0,TRUE,"")</f>
        <v/>
      </c>
      <c r="D25">
        <v>24</v>
      </c>
      <c r="E25" t="str">
        <f t="shared" si="0"/>
        <v xml:space="preserve"> </v>
      </c>
      <c r="F25" t="str">
        <f t="array" ref="F25">IFERROR(INDEX(RegionTable[electricity_region],SMALL($E$2:$E$44,ROWS($A$1:A24)),COLUMN((A24))),"")</f>
        <v/>
      </c>
    </row>
    <row r="26" spans="1:6" x14ac:dyDescent="0.25">
      <c r="A26" t="s">
        <v>423</v>
      </c>
      <c r="B26" s="118"/>
      <c r="C26" t="str">
        <f t="array" ref="C26">IF(COUNTIF(RegionTable[[#This Row],[region]],#REF!&amp;"*")&gt;0,TRUE,"")</f>
        <v/>
      </c>
      <c r="D26">
        <v>25</v>
      </c>
      <c r="E26" t="str">
        <f t="shared" si="0"/>
        <v xml:space="preserve"> </v>
      </c>
      <c r="F26" t="str">
        <f t="array" ref="F26">IFERROR(INDEX(RegionTable[electricity_region],SMALL($E$2:$E$44,ROWS($A$1:A25)),COLUMN((A25))),"")</f>
        <v/>
      </c>
    </row>
    <row r="27" spans="1:6" x14ac:dyDescent="0.25">
      <c r="A27" t="s">
        <v>465</v>
      </c>
      <c r="B27" s="118" t="s">
        <v>684</v>
      </c>
      <c r="C27" t="str">
        <f t="array" ref="C27">IF(COUNTIF(RegionTable[[#This Row],[region]],#REF!&amp;"*")&gt;0,TRUE,"")</f>
        <v/>
      </c>
      <c r="D27">
        <v>26</v>
      </c>
      <c r="E27" t="str">
        <f t="shared" si="0"/>
        <v xml:space="preserve"> </v>
      </c>
      <c r="F27" t="str">
        <f t="array" ref="F27">IFERROR(INDEX(RegionTable[electricity_region],SMALL($E$2:$E$44,ROWS($A$1:A26)),COLUMN((A26))),"")</f>
        <v/>
      </c>
    </row>
    <row r="28" spans="1:6" x14ac:dyDescent="0.25">
      <c r="A28" t="s">
        <v>438</v>
      </c>
      <c r="B28" s="118" t="s">
        <v>685</v>
      </c>
      <c r="C28" t="str">
        <f t="array" ref="C28">IF(COUNTIF(RegionTable[[#This Row],[region]],#REF!&amp;"*")&gt;0,TRUE,"")</f>
        <v/>
      </c>
      <c r="D28">
        <v>27</v>
      </c>
      <c r="E28" t="str">
        <f t="shared" si="0"/>
        <v xml:space="preserve"> </v>
      </c>
      <c r="F28" t="str">
        <f t="array" ref="F28">IFERROR(INDEX(RegionTable[electricity_region],SMALL($E$2:$E$44,ROWS($A$1:A27)),COLUMN((A27))),"")</f>
        <v/>
      </c>
    </row>
    <row r="29" spans="1:6" x14ac:dyDescent="0.25">
      <c r="A29" t="s">
        <v>450</v>
      </c>
      <c r="B29" s="118" t="s">
        <v>683</v>
      </c>
      <c r="C29" t="str">
        <f t="array" ref="C29">IF(COUNTIF(RegionTable[[#This Row],[region]],#REF!&amp;"*")&gt;0,TRUE,"")</f>
        <v/>
      </c>
      <c r="D29">
        <v>28</v>
      </c>
      <c r="E29" t="str">
        <f t="shared" si="0"/>
        <v xml:space="preserve"> </v>
      </c>
      <c r="F29" t="str">
        <f t="array" ref="F29">IFERROR(INDEX(RegionTable[electricity_region],SMALL($E$2:$E$44,ROWS($A$1:A28)),COLUMN((A28))),"")</f>
        <v/>
      </c>
    </row>
    <row r="30" spans="1:6" x14ac:dyDescent="0.25">
      <c r="A30" t="s">
        <v>487</v>
      </c>
      <c r="B30" s="118"/>
      <c r="C30" t="str">
        <f t="array" ref="C30">IF(COUNTIF(RegionTable[[#This Row],[region]],#REF!&amp;"*")&gt;0,TRUE,"")</f>
        <v/>
      </c>
      <c r="D30">
        <v>29</v>
      </c>
      <c r="E30" t="str">
        <f t="shared" si="0"/>
        <v xml:space="preserve"> </v>
      </c>
      <c r="F30" t="str">
        <f t="array" ref="F30">IFERROR(INDEX(RegionTable[electricity_region],SMALL($E$2:$E$44,ROWS($A$1:A29)),COLUMN((A29))),"")</f>
        <v/>
      </c>
    </row>
    <row r="31" spans="1:6" x14ac:dyDescent="0.25">
      <c r="A31" t="s">
        <v>506</v>
      </c>
      <c r="B31" s="118"/>
      <c r="C31" t="str">
        <f t="array" ref="C31">IF(COUNTIF(RegionTable[[#This Row],[region]],#REF!&amp;"*")&gt;0,TRUE,"")</f>
        <v/>
      </c>
      <c r="D31">
        <v>30</v>
      </c>
      <c r="E31" t="str">
        <f t="shared" si="0"/>
        <v xml:space="preserve"> </v>
      </c>
      <c r="F31" t="str">
        <f t="array" ref="F31">IFERROR(INDEX(RegionTable[electricity_region],SMALL($E$2:$E$44,ROWS($A$1:A30)),COLUMN((A30))),"")</f>
        <v/>
      </c>
    </row>
    <row r="32" spans="1:6" x14ac:dyDescent="0.25">
      <c r="A32" t="s">
        <v>527</v>
      </c>
      <c r="B32" s="118" t="s">
        <v>686</v>
      </c>
      <c r="C32" t="str">
        <f t="array" ref="C32">IF(COUNTIF(RegionTable[[#This Row],[region]],#REF!&amp;"*")&gt;0,TRUE,"")</f>
        <v/>
      </c>
      <c r="D32">
        <v>31</v>
      </c>
      <c r="E32" t="str">
        <f t="shared" si="0"/>
        <v xml:space="preserve"> </v>
      </c>
      <c r="F32" t="str">
        <f t="array" ref="F32">IFERROR(INDEX(RegionTable[electricity_region],SMALL($E$2:$E$44,ROWS($A$1:A31)),COLUMN((A31))),"")</f>
        <v/>
      </c>
    </row>
    <row r="33" spans="1:6" x14ac:dyDescent="0.25">
      <c r="A33" t="s">
        <v>528</v>
      </c>
      <c r="B33" s="118" t="s">
        <v>687</v>
      </c>
      <c r="C33" t="str">
        <f t="array" ref="C33">IF(COUNTIF(RegionTable[[#This Row],[region]],#REF!&amp;"*")&gt;0,TRUE,"")</f>
        <v/>
      </c>
      <c r="D33">
        <v>32</v>
      </c>
      <c r="E33" t="str">
        <f t="shared" si="0"/>
        <v xml:space="preserve"> </v>
      </c>
      <c r="F33" t="str">
        <f t="array" ref="F33">IFERROR(INDEX(RegionTable[electricity_region],SMALL($E$2:$E$44,ROWS($A$1:A32)),COLUMN((A32))),"")</f>
        <v/>
      </c>
    </row>
    <row r="34" spans="1:6" x14ac:dyDescent="0.25">
      <c r="A34" t="s">
        <v>537</v>
      </c>
      <c r="B34" s="118" t="s">
        <v>688</v>
      </c>
      <c r="C34" t="str">
        <f t="array" ref="C34">IF(COUNTIF(RegionTable[[#This Row],[region]],#REF!&amp;"*")&gt;0,TRUE,"")</f>
        <v/>
      </c>
      <c r="D34">
        <v>33</v>
      </c>
      <c r="E34" t="str">
        <f t="shared" si="0"/>
        <v xml:space="preserve"> </v>
      </c>
      <c r="F34" t="str">
        <f t="array" ref="F34">IFERROR(INDEX(RegionTable[electricity_region],SMALL($E$2:$E$44,ROWS($A$1:A33)),COLUMN((A33))),"")</f>
        <v/>
      </c>
    </row>
    <row r="35" spans="1:6" x14ac:dyDescent="0.25">
      <c r="A35" t="s">
        <v>533</v>
      </c>
      <c r="B35" s="118" t="s">
        <v>689</v>
      </c>
      <c r="C35" t="str">
        <f t="array" ref="C35">IF(COUNTIF(RegionTable[[#This Row],[region]],#REF!&amp;"*")&gt;0,TRUE,"")</f>
        <v/>
      </c>
      <c r="D35">
        <v>34</v>
      </c>
      <c r="E35" t="str">
        <f t="shared" si="0"/>
        <v xml:space="preserve"> </v>
      </c>
      <c r="F35" t="str">
        <f t="array" ref="F35">IFERROR(INDEX(RegionTable[electricity_region],SMALL($E$2:$E$44,ROWS($A$1:A34)),COLUMN((A34))),"")</f>
        <v/>
      </c>
    </row>
    <row r="36" spans="1:6" x14ac:dyDescent="0.25">
      <c r="A36" t="s">
        <v>599</v>
      </c>
      <c r="B36" s="118" t="s">
        <v>690</v>
      </c>
      <c r="C36" t="str">
        <f t="array" ref="C36">IF(COUNTIF(RegionTable[[#This Row],[region]],#REF!&amp;"*")&gt;0,TRUE,"")</f>
        <v/>
      </c>
      <c r="D36">
        <v>35</v>
      </c>
      <c r="E36" t="str">
        <f t="shared" si="0"/>
        <v xml:space="preserve"> </v>
      </c>
      <c r="F36" t="str">
        <f t="array" ref="F36">IFERROR(INDEX(RegionTable[electricity_region],SMALL($E$2:$E$44,ROWS($A$1:A35)),COLUMN((A35))),"")</f>
        <v/>
      </c>
    </row>
    <row r="37" spans="1:6" x14ac:dyDescent="0.25">
      <c r="A37" t="s">
        <v>577</v>
      </c>
      <c r="B37" s="118" t="s">
        <v>691</v>
      </c>
      <c r="C37" t="str">
        <f t="array" ref="C37">IF(COUNTIF(RegionTable[[#This Row],[region]],#REF!&amp;"*")&gt;0,TRUE,"")</f>
        <v/>
      </c>
      <c r="D37">
        <v>36</v>
      </c>
      <c r="E37" t="str">
        <f t="shared" si="0"/>
        <v xml:space="preserve"> </v>
      </c>
      <c r="F37" t="str">
        <f t="array" ref="F37">IFERROR(INDEX(RegionTable[electricity_region],SMALL($E$2:$E$44,ROWS($A$1:A36)),COLUMN((A36))),"")</f>
        <v/>
      </c>
    </row>
    <row r="38" spans="1:6" x14ac:dyDescent="0.25">
      <c r="A38" t="s">
        <v>576</v>
      </c>
      <c r="B38" s="118"/>
      <c r="C38" t="str">
        <f t="array" ref="C38">IF(COUNTIF(RegionTable[[#This Row],[region]],#REF!&amp;"*")&gt;0,TRUE,"")</f>
        <v/>
      </c>
      <c r="D38">
        <v>37</v>
      </c>
      <c r="E38" t="str">
        <f t="shared" si="0"/>
        <v xml:space="preserve"> </v>
      </c>
      <c r="F38" t="str">
        <f t="array" ref="F38">IFERROR(INDEX(RegionTable[electricity_region],SMALL($E$2:$E$44,ROWS($A$1:A37)),COLUMN((A37))),"")</f>
        <v/>
      </c>
    </row>
    <row r="39" spans="1:6" x14ac:dyDescent="0.25">
      <c r="A39" t="s">
        <v>624</v>
      </c>
      <c r="B39" s="118"/>
      <c r="C39" t="str">
        <f t="array" ref="C39">IF(COUNTIF(RegionTable[[#This Row],[region]],#REF!&amp;"*")&gt;0,TRUE,"")</f>
        <v/>
      </c>
      <c r="D39">
        <v>38</v>
      </c>
      <c r="E39" t="str">
        <f t="shared" si="0"/>
        <v xml:space="preserve"> </v>
      </c>
      <c r="F39" t="str">
        <f t="array" ref="F39">IFERROR(INDEX(RegionTable[electricity_region],SMALL($E$2:$E$44,ROWS($A$1:A37)),COLUMN((A38))),"")</f>
        <v/>
      </c>
    </row>
    <row r="40" spans="1:6" x14ac:dyDescent="0.25">
      <c r="A40" t="s">
        <v>636</v>
      </c>
      <c r="B40" s="118" t="s">
        <v>695</v>
      </c>
      <c r="C40" t="str">
        <f t="array" ref="C40">IF(COUNTIF(RegionTable[[#This Row],[region]],#REF!&amp;"*")&gt;0,TRUE,"")</f>
        <v/>
      </c>
      <c r="D40">
        <v>39</v>
      </c>
      <c r="E40" t="str">
        <f t="shared" si="0"/>
        <v xml:space="preserve"> </v>
      </c>
      <c r="F40" t="str">
        <f t="array" ref="F40">IFERROR(INDEX(RegionTable[electricity_region],SMALL($E$2:$E$44,ROWS($A$1:A39)),COLUMN((A39))),"")</f>
        <v/>
      </c>
    </row>
    <row r="41" spans="1:6" x14ac:dyDescent="0.25">
      <c r="A41" t="s">
        <v>718</v>
      </c>
      <c r="B41" s="118" t="s">
        <v>693</v>
      </c>
      <c r="C41" t="str">
        <f t="array" ref="C41">IF(COUNTIF(RegionTable[[#This Row],[region]],#REF!&amp;"*")&gt;0,TRUE,"")</f>
        <v/>
      </c>
      <c r="D41">
        <v>40</v>
      </c>
      <c r="E41" t="str">
        <f t="shared" si="0"/>
        <v xml:space="preserve"> </v>
      </c>
      <c r="F41" t="str">
        <f t="array" ref="F41">IFERROR(INDEX(RegionTable[electricity_region],SMALL($E$2:$E$44,ROWS($A$1:A40)),COLUMN((A40))),"")</f>
        <v/>
      </c>
    </row>
    <row r="42" spans="1:6" x14ac:dyDescent="0.25">
      <c r="B42" s="118" t="s">
        <v>692</v>
      </c>
      <c r="C42" t="str">
        <f t="array" ref="C42">IF(COUNTIF(RegionTable[[#This Row],[region]],#REF!&amp;"*")&gt;0,TRUE,"")</f>
        <v/>
      </c>
      <c r="D42">
        <v>41</v>
      </c>
      <c r="E42" t="str">
        <f t="shared" si="0"/>
        <v xml:space="preserve"> </v>
      </c>
      <c r="F42" t="str">
        <f t="array" ref="F42">IFERROR(INDEX(RegionTable[electricity_region],SMALL($E$2:$E$44,ROWS($A$1:A41)),COLUMN((A41))),"")</f>
        <v/>
      </c>
    </row>
    <row r="43" spans="1:6" x14ac:dyDescent="0.25">
      <c r="B43" s="118"/>
      <c r="C43" t="str">
        <f t="array" ref="C43">IF(COUNTIF(RegionTable[[#This Row],[region]],#REF!&amp;"*")&gt;0,TRUE,"")</f>
        <v/>
      </c>
      <c r="D43">
        <v>42</v>
      </c>
      <c r="E43" t="str">
        <f t="shared" si="0"/>
        <v xml:space="preserve"> </v>
      </c>
      <c r="F43" t="str">
        <f t="array" ref="F43">IFERROR(INDEX(RegionTable[electricity_region],SMALL($E$2:$E$44,ROWS($A$1:A42)),COLUMN((A42))),"")</f>
        <v/>
      </c>
    </row>
    <row r="44" spans="1:6" x14ac:dyDescent="0.25">
      <c r="B44" s="118"/>
      <c r="C44" t="str">
        <f t="array" ref="C44">IF(COUNTIF(RegionTable[[#This Row],[region]],#REF!&amp;"*")&gt;0,TRUE,"")</f>
        <v/>
      </c>
      <c r="D44">
        <v>43</v>
      </c>
      <c r="E44" t="str">
        <f t="shared" si="0"/>
        <v xml:space="preserve"> </v>
      </c>
      <c r="F44" t="str">
        <f t="array" ref="F44">IFERROR(INDEX(RegionTable[electricity_region],SMALL($E$2:$E$44,ROWS($A$1:A43)),COLUMN((A43))),"")</f>
        <v/>
      </c>
    </row>
  </sheetData>
  <mergeCells count="1">
    <mergeCell ref="H3:I3"/>
  </mergeCells>
  <pageMargins left="0.7" right="0.7" top="0.78740157499999996" bottom="0.78740157499999996"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70B6A-09FF-4722-8009-B6E2A7DAB4ED}">
  <sheetPr codeName="Tabelle18"/>
  <dimension ref="A1:B255"/>
  <sheetViews>
    <sheetView zoomScale="115" zoomScaleNormal="115" workbookViewId="0">
      <selection activeCell="C1" sqref="C1"/>
    </sheetView>
  </sheetViews>
  <sheetFormatPr baseColWidth="10" defaultRowHeight="15" x14ac:dyDescent="0.25"/>
  <cols>
    <col min="1" max="1" width="16.140625" bestFit="1" customWidth="1"/>
    <col min="2" max="2" width="41.42578125" style="105" bestFit="1" customWidth="1"/>
  </cols>
  <sheetData>
    <row r="1" spans="1:2" x14ac:dyDescent="0.25">
      <c r="A1" s="110" t="s">
        <v>193</v>
      </c>
      <c r="B1" s="109" t="s">
        <v>696</v>
      </c>
    </row>
    <row r="2" spans="1:2" x14ac:dyDescent="0.25">
      <c r="A2" s="107" t="s">
        <v>204</v>
      </c>
      <c r="B2" t="s">
        <v>205</v>
      </c>
    </row>
    <row r="3" spans="1:2" x14ac:dyDescent="0.25">
      <c r="A3" s="107" t="s">
        <v>638</v>
      </c>
      <c r="B3" t="s">
        <v>639</v>
      </c>
    </row>
    <row r="4" spans="1:2" x14ac:dyDescent="0.25">
      <c r="A4" s="107" t="s">
        <v>194</v>
      </c>
      <c r="B4" t="s">
        <v>195</v>
      </c>
    </row>
    <row r="5" spans="1:2" x14ac:dyDescent="0.25">
      <c r="A5" s="107" t="s">
        <v>212</v>
      </c>
      <c r="B5" t="s">
        <v>213</v>
      </c>
    </row>
    <row r="6" spans="1:2" x14ac:dyDescent="0.25">
      <c r="A6" s="107" t="s">
        <v>208</v>
      </c>
      <c r="B6" t="s">
        <v>209</v>
      </c>
    </row>
    <row r="7" spans="1:2" x14ac:dyDescent="0.25">
      <c r="A7" s="107" t="s">
        <v>198</v>
      </c>
      <c r="B7" t="s">
        <v>199</v>
      </c>
    </row>
    <row r="8" spans="1:2" x14ac:dyDescent="0.25">
      <c r="A8" s="107" t="s">
        <v>216</v>
      </c>
      <c r="B8" t="s">
        <v>217</v>
      </c>
    </row>
    <row r="9" spans="1:2" x14ac:dyDescent="0.25">
      <c r="A9" s="107" t="s">
        <v>488</v>
      </c>
      <c r="B9" t="s">
        <v>489</v>
      </c>
    </row>
    <row r="10" spans="1:2" x14ac:dyDescent="0.25">
      <c r="A10" s="107" t="s">
        <v>206</v>
      </c>
      <c r="B10" t="s">
        <v>207</v>
      </c>
    </row>
    <row r="11" spans="1:2" x14ac:dyDescent="0.25">
      <c r="A11" s="107" t="s">
        <v>210</v>
      </c>
      <c r="B11" t="s">
        <v>211</v>
      </c>
    </row>
    <row r="12" spans="1:2" x14ac:dyDescent="0.25">
      <c r="A12" s="107" t="s">
        <v>214</v>
      </c>
      <c r="B12" t="s">
        <v>215</v>
      </c>
    </row>
    <row r="13" spans="1:2" x14ac:dyDescent="0.25">
      <c r="A13" s="107" t="s">
        <v>202</v>
      </c>
      <c r="B13" t="s">
        <v>203</v>
      </c>
    </row>
    <row r="14" spans="1:2" x14ac:dyDescent="0.25">
      <c r="A14" s="107" t="s">
        <v>222</v>
      </c>
      <c r="B14" t="s">
        <v>141</v>
      </c>
    </row>
    <row r="15" spans="1:2" x14ac:dyDescent="0.25">
      <c r="A15" s="107" t="s">
        <v>220</v>
      </c>
      <c r="B15" t="s">
        <v>221</v>
      </c>
    </row>
    <row r="16" spans="1:2" x14ac:dyDescent="0.25">
      <c r="A16" s="107" t="s">
        <v>218</v>
      </c>
      <c r="B16" t="s">
        <v>219</v>
      </c>
    </row>
    <row r="17" spans="1:2" x14ac:dyDescent="0.25">
      <c r="A17" s="107" t="s">
        <v>196</v>
      </c>
      <c r="B17" t="s">
        <v>197</v>
      </c>
    </row>
    <row r="18" spans="1:2" x14ac:dyDescent="0.25">
      <c r="A18" s="107" t="s">
        <v>223</v>
      </c>
      <c r="B18" t="s">
        <v>224</v>
      </c>
    </row>
    <row r="19" spans="1:2" x14ac:dyDescent="0.25">
      <c r="A19" s="107" t="s">
        <v>248</v>
      </c>
      <c r="B19" t="s">
        <v>249</v>
      </c>
    </row>
    <row r="20" spans="1:2" x14ac:dyDescent="0.25">
      <c r="A20" s="107" t="s">
        <v>231</v>
      </c>
      <c r="B20" t="s">
        <v>232</v>
      </c>
    </row>
    <row r="21" spans="1:2" x14ac:dyDescent="0.25">
      <c r="A21" s="107" t="s">
        <v>229</v>
      </c>
      <c r="B21" t="s">
        <v>230</v>
      </c>
    </row>
    <row r="22" spans="1:2" x14ac:dyDescent="0.25">
      <c r="A22" s="107" t="s">
        <v>235</v>
      </c>
      <c r="B22" t="s">
        <v>142</v>
      </c>
    </row>
    <row r="23" spans="1:2" x14ac:dyDescent="0.25">
      <c r="A23" s="107" t="s">
        <v>261</v>
      </c>
      <c r="B23" t="s">
        <v>262</v>
      </c>
    </row>
    <row r="24" spans="1:2" x14ac:dyDescent="0.25">
      <c r="A24" s="107" t="s">
        <v>260</v>
      </c>
      <c r="B24" t="s">
        <v>143</v>
      </c>
    </row>
    <row r="25" spans="1:2" x14ac:dyDescent="0.25">
      <c r="A25" s="107" t="s">
        <v>227</v>
      </c>
      <c r="B25" t="s">
        <v>228</v>
      </c>
    </row>
    <row r="26" spans="1:2" x14ac:dyDescent="0.25">
      <c r="A26" s="107" t="s">
        <v>263</v>
      </c>
      <c r="B26" t="s">
        <v>264</v>
      </c>
    </row>
    <row r="27" spans="1:2" x14ac:dyDescent="0.25">
      <c r="A27" s="107" t="s">
        <v>238</v>
      </c>
      <c r="B27" t="s">
        <v>239</v>
      </c>
    </row>
    <row r="28" spans="1:2" x14ac:dyDescent="0.25">
      <c r="A28" s="108" t="s">
        <v>542</v>
      </c>
      <c r="B28" t="s">
        <v>543</v>
      </c>
    </row>
    <row r="29" spans="1:2" x14ac:dyDescent="0.25">
      <c r="A29" s="107" t="s">
        <v>240</v>
      </c>
      <c r="B29" t="s">
        <v>241</v>
      </c>
    </row>
    <row r="30" spans="1:2" x14ac:dyDescent="0.25">
      <c r="A30" s="107" t="s">
        <v>258</v>
      </c>
      <c r="B30" t="s">
        <v>259</v>
      </c>
    </row>
    <row r="31" spans="1:2" x14ac:dyDescent="0.25">
      <c r="A31" s="107" t="s">
        <v>244</v>
      </c>
      <c r="B31" t="s">
        <v>245</v>
      </c>
    </row>
    <row r="32" spans="1:2" x14ac:dyDescent="0.25">
      <c r="A32" s="108" t="s">
        <v>246</v>
      </c>
      <c r="B32" t="s">
        <v>247</v>
      </c>
    </row>
    <row r="33" spans="1:2" x14ac:dyDescent="0.25">
      <c r="A33" s="107" t="s">
        <v>254</v>
      </c>
      <c r="B33" t="s">
        <v>255</v>
      </c>
    </row>
    <row r="34" spans="1:2" x14ac:dyDescent="0.25">
      <c r="A34" s="107" t="s">
        <v>225</v>
      </c>
      <c r="B34" t="s">
        <v>226</v>
      </c>
    </row>
    <row r="35" spans="1:2" x14ac:dyDescent="0.25">
      <c r="A35" s="107" t="s">
        <v>242</v>
      </c>
      <c r="B35" t="s">
        <v>243</v>
      </c>
    </row>
    <row r="36" spans="1:2" x14ac:dyDescent="0.25">
      <c r="A36" s="107" t="s">
        <v>252</v>
      </c>
      <c r="B36" t="s">
        <v>253</v>
      </c>
    </row>
    <row r="37" spans="1:2" x14ac:dyDescent="0.25">
      <c r="A37" s="107" t="s">
        <v>250</v>
      </c>
      <c r="B37" t="s">
        <v>251</v>
      </c>
    </row>
    <row r="38" spans="1:2" x14ac:dyDescent="0.25">
      <c r="A38" s="107" t="s">
        <v>233</v>
      </c>
      <c r="B38" t="s">
        <v>234</v>
      </c>
    </row>
    <row r="39" spans="1:2" x14ac:dyDescent="0.25">
      <c r="A39" s="107" t="s">
        <v>236</v>
      </c>
      <c r="B39" t="s">
        <v>237</v>
      </c>
    </row>
    <row r="40" spans="1:2" x14ac:dyDescent="0.25">
      <c r="A40" s="107" t="s">
        <v>269</v>
      </c>
      <c r="B40" t="s">
        <v>270</v>
      </c>
    </row>
    <row r="41" spans="1:2" x14ac:dyDescent="0.25">
      <c r="A41" s="107" t="s">
        <v>285</v>
      </c>
      <c r="B41" t="s">
        <v>286</v>
      </c>
    </row>
    <row r="42" spans="1:2" x14ac:dyDescent="0.25">
      <c r="A42" s="107" t="s">
        <v>293</v>
      </c>
      <c r="B42" t="s">
        <v>294</v>
      </c>
    </row>
    <row r="43" spans="1:2" x14ac:dyDescent="0.25">
      <c r="A43" s="107" t="s">
        <v>275</v>
      </c>
      <c r="B43" t="s">
        <v>276</v>
      </c>
    </row>
    <row r="44" spans="1:2" x14ac:dyDescent="0.25">
      <c r="A44" s="107" t="s">
        <v>291</v>
      </c>
      <c r="B44" t="s">
        <v>292</v>
      </c>
    </row>
    <row r="45" spans="1:2" x14ac:dyDescent="0.25">
      <c r="A45" s="107" t="s">
        <v>600</v>
      </c>
      <c r="B45" t="s">
        <v>601</v>
      </c>
    </row>
    <row r="46" spans="1:2" x14ac:dyDescent="0.25">
      <c r="A46" s="107" t="s">
        <v>299</v>
      </c>
      <c r="B46" t="s">
        <v>300</v>
      </c>
    </row>
    <row r="47" spans="1:2" x14ac:dyDescent="0.25">
      <c r="A47" s="107" t="s">
        <v>295</v>
      </c>
      <c r="B47" t="s">
        <v>296</v>
      </c>
    </row>
    <row r="48" spans="1:2" x14ac:dyDescent="0.25">
      <c r="A48" s="107" t="s">
        <v>279</v>
      </c>
      <c r="B48" t="s">
        <v>280</v>
      </c>
    </row>
    <row r="49" spans="1:2" x14ac:dyDescent="0.25">
      <c r="A49" s="107" t="s">
        <v>267</v>
      </c>
      <c r="B49" t="s">
        <v>268</v>
      </c>
    </row>
    <row r="50" spans="1:2" x14ac:dyDescent="0.25">
      <c r="A50" s="107" t="s">
        <v>281</v>
      </c>
      <c r="B50" t="s">
        <v>282</v>
      </c>
    </row>
    <row r="51" spans="1:2" x14ac:dyDescent="0.25">
      <c r="A51" s="107" t="s">
        <v>287</v>
      </c>
      <c r="B51" t="s">
        <v>288</v>
      </c>
    </row>
    <row r="52" spans="1:2" x14ac:dyDescent="0.25">
      <c r="A52" s="107" t="s">
        <v>297</v>
      </c>
      <c r="B52" t="s">
        <v>298</v>
      </c>
    </row>
    <row r="53" spans="1:2" x14ac:dyDescent="0.25">
      <c r="A53" s="107" t="s">
        <v>566</v>
      </c>
      <c r="B53" t="s">
        <v>567</v>
      </c>
    </row>
    <row r="54" spans="1:2" x14ac:dyDescent="0.25">
      <c r="A54" s="107" t="s">
        <v>302</v>
      </c>
      <c r="B54" t="s">
        <v>303</v>
      </c>
    </row>
    <row r="55" spans="1:2" x14ac:dyDescent="0.25">
      <c r="A55" s="107" t="s">
        <v>271</v>
      </c>
      <c r="B55" t="s">
        <v>272</v>
      </c>
    </row>
    <row r="56" spans="1:2" x14ac:dyDescent="0.25">
      <c r="A56" s="108" t="s">
        <v>304</v>
      </c>
      <c r="B56" t="s">
        <v>305</v>
      </c>
    </row>
    <row r="57" spans="1:2" x14ac:dyDescent="0.25">
      <c r="A57" s="107" t="s">
        <v>283</v>
      </c>
      <c r="B57" t="s">
        <v>284</v>
      </c>
    </row>
    <row r="58" spans="1:2" x14ac:dyDescent="0.25">
      <c r="A58" s="107" t="s">
        <v>306</v>
      </c>
      <c r="B58" t="s">
        <v>145</v>
      </c>
    </row>
    <row r="59" spans="1:2" x14ac:dyDescent="0.25">
      <c r="A59" s="107" t="s">
        <v>307</v>
      </c>
      <c r="B59" t="s">
        <v>146</v>
      </c>
    </row>
    <row r="60" spans="1:2" x14ac:dyDescent="0.25">
      <c r="A60" s="107" t="s">
        <v>348</v>
      </c>
      <c r="B60" t="s">
        <v>151</v>
      </c>
    </row>
    <row r="61" spans="1:2" x14ac:dyDescent="0.25">
      <c r="A61" s="107" t="s">
        <v>309</v>
      </c>
      <c r="B61" t="s">
        <v>310</v>
      </c>
    </row>
    <row r="62" spans="1:2" x14ac:dyDescent="0.25">
      <c r="A62" s="107" t="s">
        <v>308</v>
      </c>
      <c r="B62" t="s">
        <v>147</v>
      </c>
    </row>
    <row r="63" spans="1:2" x14ac:dyDescent="0.25">
      <c r="A63" s="107" t="s">
        <v>311</v>
      </c>
      <c r="B63" t="s">
        <v>312</v>
      </c>
    </row>
    <row r="64" spans="1:2" x14ac:dyDescent="0.25">
      <c r="A64" s="107" t="s">
        <v>313</v>
      </c>
      <c r="B64" t="s">
        <v>314</v>
      </c>
    </row>
    <row r="65" spans="1:2" x14ac:dyDescent="0.25">
      <c r="A65" s="107" t="s">
        <v>200</v>
      </c>
      <c r="B65" t="s">
        <v>201</v>
      </c>
    </row>
    <row r="66" spans="1:2" x14ac:dyDescent="0.25">
      <c r="A66" s="107" t="s">
        <v>315</v>
      </c>
      <c r="B66" t="s">
        <v>316</v>
      </c>
    </row>
    <row r="67" spans="1:2" x14ac:dyDescent="0.25">
      <c r="A67" s="107" t="s">
        <v>325</v>
      </c>
      <c r="B67" t="s">
        <v>148</v>
      </c>
    </row>
    <row r="68" spans="1:2" x14ac:dyDescent="0.25">
      <c r="A68" s="107" t="s">
        <v>317</v>
      </c>
      <c r="B68" t="s">
        <v>318</v>
      </c>
    </row>
    <row r="69" spans="1:2" x14ac:dyDescent="0.25">
      <c r="A69" s="107" t="s">
        <v>661</v>
      </c>
      <c r="B69" t="s">
        <v>662</v>
      </c>
    </row>
    <row r="70" spans="1:2" x14ac:dyDescent="0.25">
      <c r="A70" s="107" t="s">
        <v>323</v>
      </c>
      <c r="B70" t="s">
        <v>324</v>
      </c>
    </row>
    <row r="71" spans="1:2" x14ac:dyDescent="0.25">
      <c r="A71" s="107" t="s">
        <v>588</v>
      </c>
      <c r="B71" t="s">
        <v>168</v>
      </c>
    </row>
    <row r="72" spans="1:2" x14ac:dyDescent="0.25">
      <c r="A72" s="107" t="s">
        <v>326</v>
      </c>
      <c r="B72" t="s">
        <v>327</v>
      </c>
    </row>
    <row r="73" spans="1:2" x14ac:dyDescent="0.25">
      <c r="A73" s="107" t="s">
        <v>334</v>
      </c>
      <c r="B73" t="s">
        <v>149</v>
      </c>
    </row>
    <row r="74" spans="1:2" x14ac:dyDescent="0.25">
      <c r="A74" s="107" t="s">
        <v>332</v>
      </c>
      <c r="B74" t="s">
        <v>333</v>
      </c>
    </row>
    <row r="75" spans="1:2" x14ac:dyDescent="0.25">
      <c r="A75" s="107" t="s">
        <v>328</v>
      </c>
      <c r="B75" t="s">
        <v>329</v>
      </c>
    </row>
    <row r="76" spans="1:2" x14ac:dyDescent="0.25">
      <c r="A76" s="107" t="s">
        <v>463</v>
      </c>
      <c r="B76" t="s">
        <v>464</v>
      </c>
    </row>
    <row r="77" spans="1:2" x14ac:dyDescent="0.25">
      <c r="A77" s="107" t="s">
        <v>330</v>
      </c>
      <c r="B77" t="s">
        <v>331</v>
      </c>
    </row>
    <row r="78" spans="1:2" x14ac:dyDescent="0.25">
      <c r="A78" s="107" t="s">
        <v>335</v>
      </c>
      <c r="B78" t="s">
        <v>150</v>
      </c>
    </row>
    <row r="79" spans="1:2" x14ac:dyDescent="0.25">
      <c r="A79" s="107" t="s">
        <v>342</v>
      </c>
      <c r="B79" t="s">
        <v>343</v>
      </c>
    </row>
    <row r="80" spans="1:2" x14ac:dyDescent="0.25">
      <c r="A80" s="107" t="s">
        <v>356</v>
      </c>
      <c r="B80" t="s">
        <v>357</v>
      </c>
    </row>
    <row r="81" spans="1:2" x14ac:dyDescent="0.25">
      <c r="A81" s="107" t="s">
        <v>346</v>
      </c>
      <c r="B81" t="s">
        <v>347</v>
      </c>
    </row>
    <row r="82" spans="1:2" x14ac:dyDescent="0.25">
      <c r="A82" s="107" t="s">
        <v>336</v>
      </c>
      <c r="B82" t="s">
        <v>337</v>
      </c>
    </row>
    <row r="83" spans="1:2" x14ac:dyDescent="0.25">
      <c r="A83" s="108" t="s">
        <v>364</v>
      </c>
      <c r="B83" t="s">
        <v>365</v>
      </c>
    </row>
    <row r="84" spans="1:2" x14ac:dyDescent="0.25">
      <c r="A84" s="107" t="s">
        <v>349</v>
      </c>
      <c r="B84" t="s">
        <v>350</v>
      </c>
    </row>
    <row r="85" spans="1:2" x14ac:dyDescent="0.25">
      <c r="A85" s="107" t="s">
        <v>351</v>
      </c>
      <c r="B85" t="s">
        <v>352</v>
      </c>
    </row>
    <row r="86" spans="1:2" x14ac:dyDescent="0.25">
      <c r="A86" s="107" t="s">
        <v>354</v>
      </c>
      <c r="B86" t="s">
        <v>355</v>
      </c>
    </row>
    <row r="87" spans="1:2" x14ac:dyDescent="0.25">
      <c r="A87" s="107" t="s">
        <v>344</v>
      </c>
      <c r="B87" t="s">
        <v>345</v>
      </c>
    </row>
    <row r="88" spans="1:2" x14ac:dyDescent="0.25">
      <c r="A88" s="107" t="s">
        <v>366</v>
      </c>
      <c r="B88" t="s">
        <v>367</v>
      </c>
    </row>
    <row r="89" spans="1:2" x14ac:dyDescent="0.25">
      <c r="A89" s="107" t="s">
        <v>358</v>
      </c>
      <c r="B89" t="s">
        <v>359</v>
      </c>
    </row>
    <row r="90" spans="1:2" x14ac:dyDescent="0.25">
      <c r="A90" s="107" t="s">
        <v>321</v>
      </c>
      <c r="B90" t="s">
        <v>322</v>
      </c>
    </row>
    <row r="91" spans="1:2" x14ac:dyDescent="0.25">
      <c r="A91" s="107" t="s">
        <v>353</v>
      </c>
      <c r="B91" t="s">
        <v>152</v>
      </c>
    </row>
    <row r="92" spans="1:2" x14ac:dyDescent="0.25">
      <c r="A92" s="107" t="s">
        <v>584</v>
      </c>
      <c r="B92" t="s">
        <v>585</v>
      </c>
    </row>
    <row r="93" spans="1:2" x14ac:dyDescent="0.25">
      <c r="A93" s="107" t="s">
        <v>362</v>
      </c>
      <c r="B93" t="s">
        <v>363</v>
      </c>
    </row>
    <row r="94" spans="1:2" x14ac:dyDescent="0.25">
      <c r="A94" s="107" t="s">
        <v>360</v>
      </c>
      <c r="B94" t="s">
        <v>361</v>
      </c>
    </row>
    <row r="95" spans="1:2" x14ac:dyDescent="0.25">
      <c r="A95" s="107" t="s">
        <v>368</v>
      </c>
      <c r="B95" t="s">
        <v>369</v>
      </c>
    </row>
    <row r="96" spans="1:2" x14ac:dyDescent="0.25">
      <c r="A96" s="107" t="s">
        <v>370</v>
      </c>
      <c r="B96" t="s">
        <v>371</v>
      </c>
    </row>
    <row r="97" spans="1:2" x14ac:dyDescent="0.25">
      <c r="A97" s="107" t="s">
        <v>380</v>
      </c>
      <c r="B97" t="s">
        <v>381</v>
      </c>
    </row>
    <row r="98" spans="1:2" x14ac:dyDescent="0.25">
      <c r="A98" s="107" t="s">
        <v>374</v>
      </c>
      <c r="B98" t="s">
        <v>375</v>
      </c>
    </row>
    <row r="99" spans="1:2" x14ac:dyDescent="0.25">
      <c r="A99" s="107" t="s">
        <v>378</v>
      </c>
      <c r="B99" t="s">
        <v>379</v>
      </c>
    </row>
    <row r="100" spans="1:2" x14ac:dyDescent="0.25">
      <c r="A100" s="107" t="s">
        <v>301</v>
      </c>
      <c r="B100" t="s">
        <v>144</v>
      </c>
    </row>
    <row r="101" spans="1:2" x14ac:dyDescent="0.25">
      <c r="A101" s="107" t="s">
        <v>372</v>
      </c>
      <c r="B101" t="s">
        <v>373</v>
      </c>
    </row>
    <row r="102" spans="1:2" x14ac:dyDescent="0.25">
      <c r="A102" s="107" t="s">
        <v>382</v>
      </c>
      <c r="B102" t="s">
        <v>153</v>
      </c>
    </row>
    <row r="103" spans="1:2" x14ac:dyDescent="0.25">
      <c r="A103" s="107" t="s">
        <v>386</v>
      </c>
      <c r="B103" t="s">
        <v>387</v>
      </c>
    </row>
    <row r="104" spans="1:2" x14ac:dyDescent="0.25">
      <c r="A104" s="107" t="s">
        <v>392</v>
      </c>
      <c r="B104" t="s">
        <v>155</v>
      </c>
    </row>
    <row r="105" spans="1:2" x14ac:dyDescent="0.25">
      <c r="A105" s="107" t="s">
        <v>395</v>
      </c>
      <c r="B105" t="s">
        <v>396</v>
      </c>
    </row>
    <row r="106" spans="1:2" x14ac:dyDescent="0.25">
      <c r="A106" s="108" t="s">
        <v>393</v>
      </c>
      <c r="B106" t="s">
        <v>394</v>
      </c>
    </row>
    <row r="107" spans="1:2" x14ac:dyDescent="0.25">
      <c r="A107" s="107" t="s">
        <v>384</v>
      </c>
      <c r="B107" t="s">
        <v>385</v>
      </c>
    </row>
    <row r="108" spans="1:2" x14ac:dyDescent="0.25">
      <c r="A108" s="107" t="s">
        <v>256</v>
      </c>
      <c r="B108" t="s">
        <v>257</v>
      </c>
    </row>
    <row r="109" spans="1:2" x14ac:dyDescent="0.25">
      <c r="A109" s="107" t="s">
        <v>390</v>
      </c>
      <c r="B109" t="s">
        <v>391</v>
      </c>
    </row>
    <row r="110" spans="1:2" x14ac:dyDescent="0.25">
      <c r="A110" s="107" t="s">
        <v>388</v>
      </c>
      <c r="B110" t="s">
        <v>389</v>
      </c>
    </row>
    <row r="111" spans="1:2" x14ac:dyDescent="0.25">
      <c r="A111" s="107" t="s">
        <v>383</v>
      </c>
      <c r="B111" t="s">
        <v>154</v>
      </c>
    </row>
    <row r="112" spans="1:2" x14ac:dyDescent="0.25">
      <c r="A112" s="107" t="s">
        <v>138</v>
      </c>
      <c r="B112" t="s">
        <v>156</v>
      </c>
    </row>
    <row r="113" spans="1:2" x14ac:dyDescent="0.25">
      <c r="A113" s="108" t="s">
        <v>401</v>
      </c>
      <c r="B113" t="s">
        <v>402</v>
      </c>
    </row>
    <row r="114" spans="1:2" x14ac:dyDescent="0.25">
      <c r="A114" s="107" t="s">
        <v>397</v>
      </c>
      <c r="B114" t="s">
        <v>398</v>
      </c>
    </row>
    <row r="115" spans="1:2" x14ac:dyDescent="0.25">
      <c r="A115" s="107" t="s">
        <v>403</v>
      </c>
      <c r="B115" t="s">
        <v>404</v>
      </c>
    </row>
    <row r="116" spans="1:2" x14ac:dyDescent="0.25">
      <c r="A116" s="107" t="s">
        <v>399</v>
      </c>
      <c r="B116" t="s">
        <v>400</v>
      </c>
    </row>
    <row r="117" spans="1:2" x14ac:dyDescent="0.25">
      <c r="A117" s="107" t="s">
        <v>407</v>
      </c>
      <c r="B117" t="s">
        <v>408</v>
      </c>
    </row>
    <row r="118" spans="1:2" x14ac:dyDescent="0.25">
      <c r="A118" s="107" t="s">
        <v>419</v>
      </c>
      <c r="B118" t="s">
        <v>420</v>
      </c>
    </row>
    <row r="119" spans="1:2" x14ac:dyDescent="0.25">
      <c r="A119" s="107" t="s">
        <v>265</v>
      </c>
      <c r="B119" t="s">
        <v>266</v>
      </c>
    </row>
    <row r="120" spans="1:2" x14ac:dyDescent="0.25">
      <c r="A120" s="107" t="s">
        <v>409</v>
      </c>
      <c r="B120" t="s">
        <v>410</v>
      </c>
    </row>
    <row r="121" spans="1:2" x14ac:dyDescent="0.25">
      <c r="A121" s="107" t="s">
        <v>289</v>
      </c>
      <c r="B121" t="s">
        <v>290</v>
      </c>
    </row>
    <row r="122" spans="1:2" x14ac:dyDescent="0.25">
      <c r="A122" s="107" t="s">
        <v>546</v>
      </c>
      <c r="B122" t="s">
        <v>547</v>
      </c>
    </row>
    <row r="123" spans="1:2" x14ac:dyDescent="0.25">
      <c r="A123" s="107" t="s">
        <v>411</v>
      </c>
      <c r="B123" t="s">
        <v>412</v>
      </c>
    </row>
    <row r="124" spans="1:2" x14ac:dyDescent="0.25">
      <c r="A124" s="107" t="s">
        <v>413</v>
      </c>
      <c r="B124" t="s">
        <v>414</v>
      </c>
    </row>
    <row r="125" spans="1:2" x14ac:dyDescent="0.25">
      <c r="A125" s="107" t="s">
        <v>417</v>
      </c>
      <c r="B125" t="s">
        <v>418</v>
      </c>
    </row>
    <row r="126" spans="1:2" x14ac:dyDescent="0.25">
      <c r="A126" s="107" t="s">
        <v>273</v>
      </c>
      <c r="B126" t="s">
        <v>274</v>
      </c>
    </row>
    <row r="127" spans="1:2" x14ac:dyDescent="0.25">
      <c r="A127" s="107" t="s">
        <v>405</v>
      </c>
      <c r="B127" t="s">
        <v>406</v>
      </c>
    </row>
    <row r="128" spans="1:2" x14ac:dyDescent="0.25">
      <c r="A128" s="107" t="s">
        <v>421</v>
      </c>
      <c r="B128" t="s">
        <v>422</v>
      </c>
    </row>
    <row r="129" spans="1:2" x14ac:dyDescent="0.25">
      <c r="A129" s="107" t="s">
        <v>424</v>
      </c>
      <c r="B129" t="s">
        <v>425</v>
      </c>
    </row>
    <row r="130" spans="1:2" x14ac:dyDescent="0.25">
      <c r="A130" s="107" t="s">
        <v>548</v>
      </c>
      <c r="B130" t="s">
        <v>549</v>
      </c>
    </row>
    <row r="131" spans="1:2" x14ac:dyDescent="0.25">
      <c r="A131" s="107" t="s">
        <v>432</v>
      </c>
      <c r="B131" t="s">
        <v>433</v>
      </c>
    </row>
    <row r="132" spans="1:2" x14ac:dyDescent="0.25">
      <c r="A132" s="107" t="s">
        <v>589</v>
      </c>
      <c r="B132" t="s">
        <v>590</v>
      </c>
    </row>
    <row r="133" spans="1:2" x14ac:dyDescent="0.25">
      <c r="A133" s="107" t="s">
        <v>428</v>
      </c>
      <c r="B133" t="s">
        <v>429</v>
      </c>
    </row>
    <row r="134" spans="1:2" x14ac:dyDescent="0.25">
      <c r="A134" s="107" t="s">
        <v>426</v>
      </c>
      <c r="B134" t="s">
        <v>427</v>
      </c>
    </row>
    <row r="135" spans="1:2" x14ac:dyDescent="0.25">
      <c r="A135" s="107" t="s">
        <v>434</v>
      </c>
      <c r="B135" t="s">
        <v>158</v>
      </c>
    </row>
    <row r="136" spans="1:2" x14ac:dyDescent="0.25">
      <c r="A136" s="107" t="s">
        <v>435</v>
      </c>
      <c r="B136" t="s">
        <v>159</v>
      </c>
    </row>
    <row r="137" spans="1:2" x14ac:dyDescent="0.25">
      <c r="A137" s="107" t="s">
        <v>423</v>
      </c>
      <c r="B137" t="s">
        <v>157</v>
      </c>
    </row>
    <row r="138" spans="1:2" x14ac:dyDescent="0.25">
      <c r="A138" s="107" t="s">
        <v>430</v>
      </c>
      <c r="B138" t="s">
        <v>431</v>
      </c>
    </row>
    <row r="139" spans="1:2" x14ac:dyDescent="0.25">
      <c r="A139" s="107" t="s">
        <v>475</v>
      </c>
      <c r="B139" t="s">
        <v>476</v>
      </c>
    </row>
    <row r="140" spans="1:2" x14ac:dyDescent="0.25">
      <c r="A140" s="107" t="s">
        <v>467</v>
      </c>
      <c r="B140" t="s">
        <v>468</v>
      </c>
    </row>
    <row r="141" spans="1:2" x14ac:dyDescent="0.25">
      <c r="A141" s="107" t="s">
        <v>465</v>
      </c>
      <c r="B141" t="s">
        <v>466</v>
      </c>
    </row>
    <row r="142" spans="1:2" x14ac:dyDescent="0.25">
      <c r="A142" s="108" t="s">
        <v>471</v>
      </c>
      <c r="B142" t="s">
        <v>472</v>
      </c>
    </row>
    <row r="143" spans="1:2" x14ac:dyDescent="0.25">
      <c r="A143" s="108" t="s">
        <v>550</v>
      </c>
      <c r="B143" t="s">
        <v>551</v>
      </c>
    </row>
    <row r="144" spans="1:2" x14ac:dyDescent="0.25">
      <c r="A144" s="107" t="s">
        <v>440</v>
      </c>
      <c r="B144" t="s">
        <v>441</v>
      </c>
    </row>
    <row r="145" spans="1:2" x14ac:dyDescent="0.25">
      <c r="A145" s="107" t="s">
        <v>451</v>
      </c>
      <c r="B145" t="s">
        <v>452</v>
      </c>
    </row>
    <row r="146" spans="1:2" x14ac:dyDescent="0.25">
      <c r="A146" s="106" t="s">
        <v>438</v>
      </c>
      <c r="B146" t="s">
        <v>439</v>
      </c>
    </row>
    <row r="147" spans="1:2" x14ac:dyDescent="0.25">
      <c r="A147" s="107" t="s">
        <v>448</v>
      </c>
      <c r="B147" t="s">
        <v>449</v>
      </c>
    </row>
    <row r="148" spans="1:2" x14ac:dyDescent="0.25">
      <c r="A148" s="107" t="s">
        <v>479</v>
      </c>
      <c r="B148" t="s">
        <v>480</v>
      </c>
    </row>
    <row r="149" spans="1:2" x14ac:dyDescent="0.25">
      <c r="A149" s="107" t="s">
        <v>469</v>
      </c>
      <c r="B149" t="s">
        <v>470</v>
      </c>
    </row>
    <row r="150" spans="1:2" x14ac:dyDescent="0.25">
      <c r="A150" s="107" t="s">
        <v>436</v>
      </c>
      <c r="B150" t="s">
        <v>437</v>
      </c>
    </row>
    <row r="151" spans="1:2" x14ac:dyDescent="0.25">
      <c r="A151" s="107" t="s">
        <v>504</v>
      </c>
      <c r="B151" t="s">
        <v>505</v>
      </c>
    </row>
    <row r="152" spans="1:2" x14ac:dyDescent="0.25">
      <c r="A152" s="107" t="s">
        <v>453</v>
      </c>
      <c r="B152" t="s">
        <v>454</v>
      </c>
    </row>
    <row r="153" spans="1:2" x14ac:dyDescent="0.25">
      <c r="A153" s="107" t="s">
        <v>455</v>
      </c>
      <c r="B153" t="s">
        <v>456</v>
      </c>
    </row>
    <row r="154" spans="1:2" x14ac:dyDescent="0.25">
      <c r="A154" s="107" t="s">
        <v>473</v>
      </c>
      <c r="B154" t="s">
        <v>474</v>
      </c>
    </row>
    <row r="155" spans="1:2" x14ac:dyDescent="0.25">
      <c r="A155" s="107" t="s">
        <v>450</v>
      </c>
      <c r="B155" t="s">
        <v>160</v>
      </c>
    </row>
    <row r="156" spans="1:2" x14ac:dyDescent="0.25">
      <c r="A156" s="107" t="s">
        <v>457</v>
      </c>
      <c r="B156" t="s">
        <v>458</v>
      </c>
    </row>
    <row r="157" spans="1:2" x14ac:dyDescent="0.25">
      <c r="A157" s="107" t="s">
        <v>446</v>
      </c>
      <c r="B157" t="s">
        <v>447</v>
      </c>
    </row>
    <row r="158" spans="1:2" x14ac:dyDescent="0.25">
      <c r="A158" s="107" t="s">
        <v>442</v>
      </c>
      <c r="B158" t="s">
        <v>443</v>
      </c>
    </row>
    <row r="159" spans="1:2" x14ac:dyDescent="0.25">
      <c r="A159" s="107" t="s">
        <v>461</v>
      </c>
      <c r="B159" t="s">
        <v>462</v>
      </c>
    </row>
    <row r="160" spans="1:2" x14ac:dyDescent="0.25">
      <c r="A160" s="107" t="s">
        <v>444</v>
      </c>
      <c r="B160" t="s">
        <v>445</v>
      </c>
    </row>
    <row r="161" spans="1:2" x14ac:dyDescent="0.25">
      <c r="A161" s="107" t="s">
        <v>477</v>
      </c>
      <c r="B161" t="s">
        <v>478</v>
      </c>
    </row>
    <row r="162" spans="1:2" x14ac:dyDescent="0.25">
      <c r="A162" s="107" t="s">
        <v>481</v>
      </c>
      <c r="B162" t="s">
        <v>482</v>
      </c>
    </row>
    <row r="163" spans="1:2" x14ac:dyDescent="0.25">
      <c r="A163" s="107" t="s">
        <v>490</v>
      </c>
      <c r="B163" t="s">
        <v>491</v>
      </c>
    </row>
    <row r="164" spans="1:2" x14ac:dyDescent="0.25">
      <c r="A164" s="107" t="s">
        <v>496</v>
      </c>
      <c r="B164" t="s">
        <v>497</v>
      </c>
    </row>
    <row r="165" spans="1:2" x14ac:dyDescent="0.25">
      <c r="A165" s="107" t="s">
        <v>502</v>
      </c>
      <c r="B165" t="s">
        <v>503</v>
      </c>
    </row>
    <row r="166" spans="1:2" x14ac:dyDescent="0.25">
      <c r="A166" s="107" t="s">
        <v>498</v>
      </c>
      <c r="B166" t="s">
        <v>499</v>
      </c>
    </row>
    <row r="167" spans="1:2" x14ac:dyDescent="0.25">
      <c r="A167" s="107" t="s">
        <v>494</v>
      </c>
      <c r="B167" t="s">
        <v>495</v>
      </c>
    </row>
    <row r="168" spans="1:2" x14ac:dyDescent="0.25">
      <c r="A168" s="107" t="s">
        <v>487</v>
      </c>
      <c r="B168" t="s">
        <v>161</v>
      </c>
    </row>
    <row r="169" spans="1:2" x14ac:dyDescent="0.25">
      <c r="A169" s="107" t="s">
        <v>506</v>
      </c>
      <c r="B169" t="s">
        <v>162</v>
      </c>
    </row>
    <row r="170" spans="1:2" x14ac:dyDescent="0.25">
      <c r="A170" s="107" t="s">
        <v>485</v>
      </c>
      <c r="B170" t="s">
        <v>486</v>
      </c>
    </row>
    <row r="171" spans="1:2" x14ac:dyDescent="0.25">
      <c r="A171" s="107" t="s">
        <v>483</v>
      </c>
      <c r="B171" t="s">
        <v>484</v>
      </c>
    </row>
    <row r="172" spans="1:2" x14ac:dyDescent="0.25">
      <c r="A172" s="107" t="s">
        <v>500</v>
      </c>
      <c r="B172" t="s">
        <v>501</v>
      </c>
    </row>
    <row r="173" spans="1:2" x14ac:dyDescent="0.25">
      <c r="A173" s="107" t="s">
        <v>492</v>
      </c>
      <c r="B173" t="s">
        <v>493</v>
      </c>
    </row>
    <row r="174" spans="1:2" x14ac:dyDescent="0.25">
      <c r="A174" s="107" t="s">
        <v>507</v>
      </c>
      <c r="B174" t="s">
        <v>508</v>
      </c>
    </row>
    <row r="175" spans="1:2" x14ac:dyDescent="0.25">
      <c r="A175" s="107" t="s">
        <v>515</v>
      </c>
      <c r="B175" t="s">
        <v>516</v>
      </c>
    </row>
    <row r="176" spans="1:2" x14ac:dyDescent="0.25">
      <c r="A176" s="107" t="s">
        <v>521</v>
      </c>
      <c r="B176" t="s">
        <v>522</v>
      </c>
    </row>
    <row r="177" spans="1:2" x14ac:dyDescent="0.25">
      <c r="A177" s="107" t="s">
        <v>338</v>
      </c>
      <c r="B177" t="s">
        <v>339</v>
      </c>
    </row>
    <row r="178" spans="1:2" x14ac:dyDescent="0.25">
      <c r="A178" s="107" t="s">
        <v>517</v>
      </c>
      <c r="B178" t="s">
        <v>518</v>
      </c>
    </row>
    <row r="179" spans="1:2" x14ac:dyDescent="0.25">
      <c r="A179" s="107" t="s">
        <v>523</v>
      </c>
      <c r="B179" t="s">
        <v>524</v>
      </c>
    </row>
    <row r="180" spans="1:2" x14ac:dyDescent="0.25">
      <c r="A180" s="107" t="s">
        <v>509</v>
      </c>
      <c r="B180" t="s">
        <v>510</v>
      </c>
    </row>
    <row r="181" spans="1:2" x14ac:dyDescent="0.25">
      <c r="A181" s="107" t="s">
        <v>527</v>
      </c>
      <c r="B181" t="s">
        <v>163</v>
      </c>
    </row>
    <row r="182" spans="1:2" x14ac:dyDescent="0.25">
      <c r="A182" s="107" t="s">
        <v>552</v>
      </c>
      <c r="B182" t="s">
        <v>553</v>
      </c>
    </row>
    <row r="183" spans="1:2" x14ac:dyDescent="0.25">
      <c r="A183" s="107" t="s">
        <v>525</v>
      </c>
      <c r="B183" t="s">
        <v>526</v>
      </c>
    </row>
    <row r="184" spans="1:2" x14ac:dyDescent="0.25">
      <c r="A184" s="107" t="s">
        <v>529</v>
      </c>
      <c r="B184" t="s">
        <v>530</v>
      </c>
    </row>
    <row r="185" spans="1:2" x14ac:dyDescent="0.25">
      <c r="A185" s="108" t="s">
        <v>513</v>
      </c>
      <c r="B185" t="s">
        <v>514</v>
      </c>
    </row>
    <row r="186" spans="1:2" x14ac:dyDescent="0.25">
      <c r="A186" s="107" t="s">
        <v>528</v>
      </c>
      <c r="B186" t="s">
        <v>164</v>
      </c>
    </row>
    <row r="187" spans="1:2" x14ac:dyDescent="0.25">
      <c r="A187" s="107" t="s">
        <v>511</v>
      </c>
      <c r="B187" t="s">
        <v>512</v>
      </c>
    </row>
    <row r="188" spans="1:2" x14ac:dyDescent="0.25">
      <c r="A188" s="107" t="s">
        <v>519</v>
      </c>
      <c r="B188" t="s">
        <v>520</v>
      </c>
    </row>
    <row r="189" spans="1:2" x14ac:dyDescent="0.25">
      <c r="A189" s="107" t="s">
        <v>531</v>
      </c>
      <c r="B189" t="s">
        <v>532</v>
      </c>
    </row>
    <row r="190" spans="1:2" x14ac:dyDescent="0.25">
      <c r="A190" s="107" t="s">
        <v>535</v>
      </c>
      <c r="B190" t="s">
        <v>536</v>
      </c>
    </row>
    <row r="191" spans="1:2" x14ac:dyDescent="0.25">
      <c r="A191" s="107" t="s">
        <v>537</v>
      </c>
      <c r="B191" t="s">
        <v>165</v>
      </c>
    </row>
    <row r="192" spans="1:2" x14ac:dyDescent="0.25">
      <c r="A192" s="108" t="s">
        <v>533</v>
      </c>
      <c r="B192" t="s">
        <v>534</v>
      </c>
    </row>
    <row r="193" spans="1:2" x14ac:dyDescent="0.25">
      <c r="A193" s="107" t="s">
        <v>538</v>
      </c>
      <c r="B193" t="s">
        <v>539</v>
      </c>
    </row>
    <row r="194" spans="1:2" x14ac:dyDescent="0.25">
      <c r="A194" s="107" t="s">
        <v>540</v>
      </c>
      <c r="B194" t="s">
        <v>541</v>
      </c>
    </row>
    <row r="195" spans="1:2" x14ac:dyDescent="0.25">
      <c r="A195" s="107" t="s">
        <v>562</v>
      </c>
      <c r="B195" t="s">
        <v>563</v>
      </c>
    </row>
    <row r="196" spans="1:2" x14ac:dyDescent="0.25">
      <c r="A196" s="107" t="s">
        <v>578</v>
      </c>
      <c r="B196" t="s">
        <v>579</v>
      </c>
    </row>
    <row r="197" spans="1:2" x14ac:dyDescent="0.25">
      <c r="A197" s="107" t="s">
        <v>568</v>
      </c>
      <c r="B197" t="s">
        <v>569</v>
      </c>
    </row>
    <row r="198" spans="1:2" x14ac:dyDescent="0.25">
      <c r="A198" s="107" t="s">
        <v>591</v>
      </c>
      <c r="B198" t="s">
        <v>592</v>
      </c>
    </row>
    <row r="199" spans="1:2" x14ac:dyDescent="0.25">
      <c r="A199" s="107" t="s">
        <v>599</v>
      </c>
      <c r="B199" t="s">
        <v>169</v>
      </c>
    </row>
    <row r="200" spans="1:2" x14ac:dyDescent="0.25">
      <c r="A200" s="107" t="s">
        <v>572</v>
      </c>
      <c r="B200" t="s">
        <v>573</v>
      </c>
    </row>
    <row r="201" spans="1:2" x14ac:dyDescent="0.25">
      <c r="A201" s="107" t="s">
        <v>544</v>
      </c>
      <c r="B201" t="s">
        <v>545</v>
      </c>
    </row>
    <row r="202" spans="1:2" x14ac:dyDescent="0.25">
      <c r="A202" s="107" t="s">
        <v>577</v>
      </c>
      <c r="B202" t="s">
        <v>167</v>
      </c>
    </row>
    <row r="203" spans="1:2" x14ac:dyDescent="0.25">
      <c r="A203" s="107" t="s">
        <v>595</v>
      </c>
      <c r="B203" t="s">
        <v>596</v>
      </c>
    </row>
    <row r="204" spans="1:2" x14ac:dyDescent="0.25">
      <c r="A204" s="107" t="s">
        <v>576</v>
      </c>
      <c r="B204" t="s">
        <v>166</v>
      </c>
    </row>
    <row r="205" spans="1:2" x14ac:dyDescent="0.25">
      <c r="A205" s="107" t="s">
        <v>570</v>
      </c>
      <c r="B205" t="s">
        <v>571</v>
      </c>
    </row>
    <row r="206" spans="1:2" x14ac:dyDescent="0.25">
      <c r="A206" s="107" t="s">
        <v>558</v>
      </c>
      <c r="B206" t="s">
        <v>559</v>
      </c>
    </row>
    <row r="207" spans="1:2" x14ac:dyDescent="0.25">
      <c r="A207" s="107" t="s">
        <v>564</v>
      </c>
      <c r="B207" t="s">
        <v>565</v>
      </c>
    </row>
    <row r="208" spans="1:2" x14ac:dyDescent="0.25">
      <c r="A208" s="107" t="s">
        <v>580</v>
      </c>
      <c r="B208" t="s">
        <v>581</v>
      </c>
    </row>
    <row r="209" spans="1:2" x14ac:dyDescent="0.25">
      <c r="A209" s="107" t="s">
        <v>593</v>
      </c>
      <c r="B209" t="s">
        <v>594</v>
      </c>
    </row>
    <row r="210" spans="1:2" x14ac:dyDescent="0.25">
      <c r="A210" s="108" t="s">
        <v>586</v>
      </c>
      <c r="B210" t="s">
        <v>587</v>
      </c>
    </row>
    <row r="211" spans="1:2" x14ac:dyDescent="0.25">
      <c r="A211" s="107" t="s">
        <v>560</v>
      </c>
      <c r="B211" t="s">
        <v>561</v>
      </c>
    </row>
    <row r="212" spans="1:2" x14ac:dyDescent="0.25">
      <c r="A212" s="107" t="s">
        <v>319</v>
      </c>
      <c r="B212" t="s">
        <v>320</v>
      </c>
    </row>
    <row r="213" spans="1:2" x14ac:dyDescent="0.25">
      <c r="A213" s="108" t="s">
        <v>574</v>
      </c>
      <c r="B213" t="s">
        <v>575</v>
      </c>
    </row>
    <row r="214" spans="1:2" x14ac:dyDescent="0.25">
      <c r="A214" s="107" t="s">
        <v>602</v>
      </c>
      <c r="B214" t="s">
        <v>603</v>
      </c>
    </row>
    <row r="215" spans="1:2" x14ac:dyDescent="0.25">
      <c r="A215" s="107" t="s">
        <v>597</v>
      </c>
      <c r="B215" t="s">
        <v>598</v>
      </c>
    </row>
    <row r="216" spans="1:2" x14ac:dyDescent="0.25">
      <c r="A216" s="107" t="s">
        <v>630</v>
      </c>
      <c r="B216" t="s">
        <v>631</v>
      </c>
    </row>
    <row r="217" spans="1:2" x14ac:dyDescent="0.25">
      <c r="A217" s="107" t="s">
        <v>277</v>
      </c>
      <c r="B217" t="s">
        <v>278</v>
      </c>
    </row>
    <row r="218" spans="1:2" x14ac:dyDescent="0.25">
      <c r="A218" s="107" t="s">
        <v>340</v>
      </c>
      <c r="B218" t="s">
        <v>341</v>
      </c>
    </row>
    <row r="219" spans="1:2" x14ac:dyDescent="0.25">
      <c r="A219" s="107" t="s">
        <v>614</v>
      </c>
      <c r="B219" t="s">
        <v>615</v>
      </c>
    </row>
    <row r="220" spans="1:2" x14ac:dyDescent="0.25">
      <c r="A220" s="107" t="s">
        <v>610</v>
      </c>
      <c r="B220" t="s">
        <v>611</v>
      </c>
    </row>
    <row r="221" spans="1:2" x14ac:dyDescent="0.25">
      <c r="A221" s="107" t="s">
        <v>606</v>
      </c>
      <c r="B221" t="s">
        <v>607</v>
      </c>
    </row>
    <row r="222" spans="1:2" x14ac:dyDescent="0.25">
      <c r="A222" s="107" t="s">
        <v>616</v>
      </c>
      <c r="B222" t="s">
        <v>617</v>
      </c>
    </row>
    <row r="223" spans="1:2" x14ac:dyDescent="0.25">
      <c r="A223" s="108" t="s">
        <v>612</v>
      </c>
      <c r="B223" t="s">
        <v>613</v>
      </c>
    </row>
    <row r="224" spans="1:2" x14ac:dyDescent="0.25">
      <c r="A224" s="107" t="s">
        <v>628</v>
      </c>
      <c r="B224" t="s">
        <v>629</v>
      </c>
    </row>
    <row r="225" spans="1:2" x14ac:dyDescent="0.25">
      <c r="A225" s="107" t="s">
        <v>622</v>
      </c>
      <c r="B225" t="s">
        <v>623</v>
      </c>
    </row>
    <row r="226" spans="1:2" x14ac:dyDescent="0.25">
      <c r="A226" s="107" t="s">
        <v>618</v>
      </c>
      <c r="B226" t="s">
        <v>619</v>
      </c>
    </row>
    <row r="227" spans="1:2" x14ac:dyDescent="0.25">
      <c r="A227" s="107" t="s">
        <v>624</v>
      </c>
      <c r="B227" t="s">
        <v>625</v>
      </c>
    </row>
    <row r="228" spans="1:2" x14ac:dyDescent="0.25">
      <c r="A228" s="107" t="s">
        <v>620</v>
      </c>
      <c r="B228" t="s">
        <v>621</v>
      </c>
    </row>
    <row r="229" spans="1:2" x14ac:dyDescent="0.25">
      <c r="A229" s="107" t="s">
        <v>632</v>
      </c>
      <c r="B229" t="s">
        <v>633</v>
      </c>
    </row>
    <row r="230" spans="1:2" x14ac:dyDescent="0.25">
      <c r="A230" s="107" t="s">
        <v>604</v>
      </c>
      <c r="B230" t="s">
        <v>605</v>
      </c>
    </row>
    <row r="231" spans="1:2" x14ac:dyDescent="0.25">
      <c r="A231" s="107" t="s">
        <v>608</v>
      </c>
      <c r="B231" t="s">
        <v>609</v>
      </c>
    </row>
    <row r="232" spans="1:2" x14ac:dyDescent="0.25">
      <c r="A232" s="107" t="s">
        <v>636</v>
      </c>
      <c r="B232" t="s">
        <v>637</v>
      </c>
    </row>
    <row r="233" spans="1:2" x14ac:dyDescent="0.25">
      <c r="A233" s="107" t="s">
        <v>634</v>
      </c>
      <c r="B233" t="s">
        <v>635</v>
      </c>
    </row>
    <row r="234" spans="1:2" x14ac:dyDescent="0.25">
      <c r="A234" s="107" t="s">
        <v>718</v>
      </c>
      <c r="B234" t="s">
        <v>640</v>
      </c>
    </row>
    <row r="235" spans="1:2" x14ac:dyDescent="0.25">
      <c r="A235" s="107" t="s">
        <v>643</v>
      </c>
      <c r="B235" t="s">
        <v>644</v>
      </c>
    </row>
    <row r="236" spans="1:2" x14ac:dyDescent="0.25">
      <c r="A236" s="107" t="s">
        <v>641</v>
      </c>
      <c r="B236" t="s">
        <v>642</v>
      </c>
    </row>
    <row r="237" spans="1:2" x14ac:dyDescent="0.25">
      <c r="A237" s="107" t="s">
        <v>645</v>
      </c>
      <c r="B237" t="s">
        <v>646</v>
      </c>
    </row>
    <row r="238" spans="1:2" x14ac:dyDescent="0.25">
      <c r="A238" s="107" t="s">
        <v>647</v>
      </c>
      <c r="B238" t="s">
        <v>648</v>
      </c>
    </row>
    <row r="239" spans="1:2" x14ac:dyDescent="0.25">
      <c r="A239" s="107" t="s">
        <v>376</v>
      </c>
      <c r="B239" t="s">
        <v>377</v>
      </c>
    </row>
    <row r="240" spans="1:2" x14ac:dyDescent="0.25">
      <c r="A240" s="107" t="s">
        <v>554</v>
      </c>
      <c r="B240" t="s">
        <v>555</v>
      </c>
    </row>
    <row r="241" spans="1:2" x14ac:dyDescent="0.25">
      <c r="A241" s="107" t="s">
        <v>651</v>
      </c>
      <c r="B241" t="s">
        <v>652</v>
      </c>
    </row>
    <row r="242" spans="1:2" x14ac:dyDescent="0.25">
      <c r="A242" s="107" t="s">
        <v>655</v>
      </c>
      <c r="B242" t="s">
        <v>656</v>
      </c>
    </row>
    <row r="243" spans="1:2" x14ac:dyDescent="0.25">
      <c r="A243" s="107" t="s">
        <v>657</v>
      </c>
      <c r="B243" t="s">
        <v>658</v>
      </c>
    </row>
    <row r="244" spans="1:2" x14ac:dyDescent="0.25">
      <c r="A244" s="107" t="s">
        <v>653</v>
      </c>
      <c r="B244" t="s">
        <v>654</v>
      </c>
    </row>
    <row r="245" spans="1:2" x14ac:dyDescent="0.25">
      <c r="A245" s="107" t="s">
        <v>649</v>
      </c>
      <c r="B245" t="s">
        <v>650</v>
      </c>
    </row>
    <row r="246" spans="1:2" x14ac:dyDescent="0.25">
      <c r="A246" s="107" t="s">
        <v>659</v>
      </c>
      <c r="B246" t="s">
        <v>660</v>
      </c>
    </row>
    <row r="247" spans="1:2" x14ac:dyDescent="0.25">
      <c r="A247" s="107" t="s">
        <v>556</v>
      </c>
      <c r="B247" t="s">
        <v>557</v>
      </c>
    </row>
    <row r="248" spans="1:2" x14ac:dyDescent="0.25">
      <c r="A248" s="108" t="s">
        <v>415</v>
      </c>
      <c r="B248" t="s">
        <v>416</v>
      </c>
    </row>
    <row r="249" spans="1:2" x14ac:dyDescent="0.25">
      <c r="A249" s="108" t="s">
        <v>626</v>
      </c>
      <c r="B249" t="s">
        <v>627</v>
      </c>
    </row>
    <row r="250" spans="1:2" x14ac:dyDescent="0.25">
      <c r="A250" s="107" t="s">
        <v>663</v>
      </c>
      <c r="B250" t="s">
        <v>664</v>
      </c>
    </row>
    <row r="251" spans="1:2" x14ac:dyDescent="0.25">
      <c r="A251" s="107" t="s">
        <v>459</v>
      </c>
      <c r="B251" t="s">
        <v>460</v>
      </c>
    </row>
    <row r="252" spans="1:2" x14ac:dyDescent="0.25">
      <c r="A252" s="107" t="s">
        <v>582</v>
      </c>
      <c r="B252" t="s">
        <v>583</v>
      </c>
    </row>
    <row r="253" spans="1:2" x14ac:dyDescent="0.25">
      <c r="A253" s="107" t="s">
        <v>665</v>
      </c>
      <c r="B253" t="s">
        <v>666</v>
      </c>
    </row>
    <row r="254" spans="1:2" x14ac:dyDescent="0.25">
      <c r="A254" s="107" t="s">
        <v>667</v>
      </c>
      <c r="B254" t="s">
        <v>668</v>
      </c>
    </row>
    <row r="255" spans="1:2" x14ac:dyDescent="0.25">
      <c r="A255" s="121" t="s">
        <v>725</v>
      </c>
      <c r="B255" s="121" t="s">
        <v>726</v>
      </c>
    </row>
  </sheetData>
  <pageMargins left="0.7" right="0.7" top="0.78740157499999996" bottom="0.78740157499999996"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D5A7-4770-48D7-B035-2372D793CB9B}">
  <sheetPr codeName="Tabelle19"/>
  <dimension ref="A1:K149"/>
  <sheetViews>
    <sheetView topLeftCell="A2" workbookViewId="0">
      <selection activeCell="C1" sqref="C1"/>
    </sheetView>
  </sheetViews>
  <sheetFormatPr baseColWidth="10" defaultRowHeight="15" x14ac:dyDescent="0.25"/>
  <cols>
    <col min="1" max="1" width="26.7109375" bestFit="1" customWidth="1"/>
    <col min="2" max="2" width="35.7109375" bestFit="1" customWidth="1"/>
    <col min="3" max="3" width="55.85546875" bestFit="1" customWidth="1"/>
    <col min="4" max="4" width="28" bestFit="1" customWidth="1"/>
    <col min="5" max="5" width="15.28515625" bestFit="1" customWidth="1"/>
    <col min="6" max="6" width="12.7109375" bestFit="1" customWidth="1"/>
    <col min="7" max="7" width="16.42578125" bestFit="1" customWidth="1"/>
    <col min="8" max="8" width="38.140625" bestFit="1" customWidth="1"/>
    <col min="9" max="9" width="15.7109375" bestFit="1" customWidth="1"/>
    <col min="10" max="10" width="13.85546875" bestFit="1" customWidth="1"/>
    <col min="11" max="11" width="55.85546875" bestFit="1" customWidth="1"/>
    <col min="12" max="12" width="15.28515625" bestFit="1" customWidth="1"/>
    <col min="13" max="14" width="15.7109375" bestFit="1" customWidth="1"/>
  </cols>
  <sheetData>
    <row r="1" spans="1:11" x14ac:dyDescent="0.25">
      <c r="A1" t="s">
        <v>728</v>
      </c>
      <c r="B1" t="s">
        <v>729</v>
      </c>
      <c r="C1" t="s">
        <v>730</v>
      </c>
      <c r="D1" t="s">
        <v>732</v>
      </c>
      <c r="E1" t="s">
        <v>731</v>
      </c>
      <c r="F1" t="s">
        <v>734</v>
      </c>
      <c r="G1" t="s">
        <v>735</v>
      </c>
      <c r="H1" t="s">
        <v>736</v>
      </c>
      <c r="I1" t="s">
        <v>737</v>
      </c>
      <c r="J1" t="s">
        <v>738</v>
      </c>
      <c r="K1" t="s">
        <v>739</v>
      </c>
    </row>
    <row r="2" spans="1:11" x14ac:dyDescent="0.25">
      <c r="A2" s="119" t="s">
        <v>1582</v>
      </c>
      <c r="B2" s="119" t="s">
        <v>897</v>
      </c>
      <c r="C2" s="119" t="s">
        <v>1583</v>
      </c>
      <c r="D2" s="119" t="s">
        <v>1212</v>
      </c>
      <c r="E2" s="119" t="s">
        <v>733</v>
      </c>
      <c r="F2" s="119" t="s">
        <v>741</v>
      </c>
      <c r="G2" s="119" t="s">
        <v>898</v>
      </c>
      <c r="H2" s="119" t="s">
        <v>899</v>
      </c>
      <c r="I2" s="119" t="s">
        <v>1584</v>
      </c>
      <c r="J2" s="119" t="s">
        <v>1585</v>
      </c>
      <c r="K2" s="119" t="s">
        <v>1586</v>
      </c>
    </row>
    <row r="3" spans="1:11" x14ac:dyDescent="0.25">
      <c r="A3" s="119" t="s">
        <v>1652</v>
      </c>
      <c r="B3" s="119" t="s">
        <v>834</v>
      </c>
      <c r="C3" s="119" t="s">
        <v>1653</v>
      </c>
      <c r="D3" s="119" t="s">
        <v>1212</v>
      </c>
      <c r="E3" s="119" t="s">
        <v>733</v>
      </c>
      <c r="F3" s="119" t="s">
        <v>741</v>
      </c>
      <c r="G3" s="119" t="s">
        <v>835</v>
      </c>
      <c r="H3" s="119" t="s">
        <v>836</v>
      </c>
      <c r="I3" s="119" t="s">
        <v>1654</v>
      </c>
      <c r="J3" s="119" t="s">
        <v>1655</v>
      </c>
      <c r="K3" s="119" t="s">
        <v>1656</v>
      </c>
    </row>
    <row r="4" spans="1:11" x14ac:dyDescent="0.25">
      <c r="A4" s="119" t="s">
        <v>1311</v>
      </c>
      <c r="B4" s="119" t="s">
        <v>891</v>
      </c>
      <c r="C4" s="119" t="s">
        <v>1312</v>
      </c>
      <c r="D4" s="119" t="s">
        <v>1212</v>
      </c>
      <c r="E4" s="119" t="s">
        <v>733</v>
      </c>
      <c r="F4" s="119" t="s">
        <v>741</v>
      </c>
      <c r="G4" s="119" t="s">
        <v>892</v>
      </c>
      <c r="H4" s="119" t="s">
        <v>893</v>
      </c>
      <c r="I4" s="119" t="s">
        <v>1313</v>
      </c>
      <c r="J4" s="119" t="s">
        <v>1314</v>
      </c>
      <c r="K4" s="119" t="s">
        <v>1315</v>
      </c>
    </row>
    <row r="5" spans="1:11" x14ac:dyDescent="0.25">
      <c r="A5" s="119" t="s">
        <v>1381</v>
      </c>
      <c r="B5" s="119" t="s">
        <v>1061</v>
      </c>
      <c r="C5" s="119" t="s">
        <v>1382</v>
      </c>
      <c r="D5" s="119" t="s">
        <v>1212</v>
      </c>
      <c r="E5" s="119" t="s">
        <v>733</v>
      </c>
      <c r="F5" s="119" t="s">
        <v>741</v>
      </c>
      <c r="G5" s="119" t="s">
        <v>1062</v>
      </c>
      <c r="H5" s="119" t="s">
        <v>1063</v>
      </c>
      <c r="I5" s="119" t="s">
        <v>1383</v>
      </c>
      <c r="J5" s="119" t="s">
        <v>1384</v>
      </c>
      <c r="K5" s="119" t="s">
        <v>1385</v>
      </c>
    </row>
    <row r="6" spans="1:11" x14ac:dyDescent="0.25">
      <c r="A6" s="119" t="s">
        <v>1366</v>
      </c>
      <c r="B6" s="119" t="s">
        <v>762</v>
      </c>
      <c r="C6" s="119" t="s">
        <v>1367</v>
      </c>
      <c r="D6" s="119" t="s">
        <v>1212</v>
      </c>
      <c r="E6" s="119" t="s">
        <v>733</v>
      </c>
      <c r="F6" s="119" t="s">
        <v>741</v>
      </c>
      <c r="G6" s="119" t="s">
        <v>763</v>
      </c>
      <c r="H6" s="119" t="s">
        <v>764</v>
      </c>
      <c r="I6" s="119" t="s">
        <v>1368</v>
      </c>
      <c r="J6" s="119" t="s">
        <v>1369</v>
      </c>
      <c r="K6" s="119" t="s">
        <v>1370</v>
      </c>
    </row>
    <row r="7" spans="1:11" x14ac:dyDescent="0.25">
      <c r="A7" s="119" t="s">
        <v>1757</v>
      </c>
      <c r="B7" s="119" t="s">
        <v>1151</v>
      </c>
      <c r="C7" s="119" t="s">
        <v>1758</v>
      </c>
      <c r="D7" s="119" t="s">
        <v>1212</v>
      </c>
      <c r="E7" s="119" t="s">
        <v>733</v>
      </c>
      <c r="F7" s="119" t="s">
        <v>741</v>
      </c>
      <c r="G7" s="119" t="s">
        <v>1152</v>
      </c>
      <c r="H7" s="119" t="s">
        <v>1153</v>
      </c>
      <c r="I7" s="119" t="s">
        <v>1759</v>
      </c>
      <c r="J7" s="119" t="s">
        <v>1760</v>
      </c>
      <c r="K7" s="119" t="s">
        <v>1761</v>
      </c>
    </row>
    <row r="8" spans="1:11" x14ac:dyDescent="0.25">
      <c r="A8" s="119" t="s">
        <v>1514</v>
      </c>
      <c r="B8" s="119" t="s">
        <v>1169</v>
      </c>
      <c r="C8" s="119" t="s">
        <v>1515</v>
      </c>
      <c r="D8" s="119" t="s">
        <v>1212</v>
      </c>
      <c r="E8" s="119" t="s">
        <v>733</v>
      </c>
      <c r="F8" s="119" t="s">
        <v>741</v>
      </c>
      <c r="G8" s="119" t="s">
        <v>1170</v>
      </c>
      <c r="H8" s="119" t="s">
        <v>1171</v>
      </c>
      <c r="I8" s="119" t="s">
        <v>1516</v>
      </c>
      <c r="J8" s="119" t="s">
        <v>1517</v>
      </c>
      <c r="K8" s="119" t="s">
        <v>1518</v>
      </c>
    </row>
    <row r="9" spans="1:11" x14ac:dyDescent="0.25">
      <c r="A9" s="119" t="s">
        <v>1231</v>
      </c>
      <c r="B9" s="119" t="s">
        <v>750</v>
      </c>
      <c r="C9" s="119" t="s">
        <v>1232</v>
      </c>
      <c r="D9" s="119" t="s">
        <v>1212</v>
      </c>
      <c r="E9" s="119" t="s">
        <v>733</v>
      </c>
      <c r="F9" s="119" t="s">
        <v>741</v>
      </c>
      <c r="G9" s="119" t="s">
        <v>751</v>
      </c>
      <c r="H9" s="119" t="s">
        <v>752</v>
      </c>
      <c r="I9" s="119" t="s">
        <v>1233</v>
      </c>
      <c r="J9" s="119" t="s">
        <v>1234</v>
      </c>
      <c r="K9" s="119" t="s">
        <v>1235</v>
      </c>
    </row>
    <row r="10" spans="1:11" x14ac:dyDescent="0.25">
      <c r="A10" s="119" t="s">
        <v>1752</v>
      </c>
      <c r="B10" s="119" t="s">
        <v>1019</v>
      </c>
      <c r="C10" s="119" t="s">
        <v>1753</v>
      </c>
      <c r="D10" s="119" t="s">
        <v>1212</v>
      </c>
      <c r="E10" s="119" t="s">
        <v>733</v>
      </c>
      <c r="F10" s="119" t="s">
        <v>741</v>
      </c>
      <c r="G10" s="119" t="s">
        <v>1020</v>
      </c>
      <c r="H10" s="119" t="s">
        <v>1021</v>
      </c>
      <c r="I10" s="119" t="s">
        <v>1754</v>
      </c>
      <c r="J10" s="119" t="s">
        <v>1755</v>
      </c>
      <c r="K10" s="119" t="s">
        <v>1756</v>
      </c>
    </row>
    <row r="11" spans="1:11" x14ac:dyDescent="0.25">
      <c r="A11" s="119" t="s">
        <v>1597</v>
      </c>
      <c r="B11" s="119" t="s">
        <v>771</v>
      </c>
      <c r="C11" s="119" t="s">
        <v>1598</v>
      </c>
      <c r="D11" s="119" t="s">
        <v>1212</v>
      </c>
      <c r="E11" s="119" t="s">
        <v>733</v>
      </c>
      <c r="F11" s="119" t="s">
        <v>741</v>
      </c>
      <c r="G11" s="119" t="s">
        <v>772</v>
      </c>
      <c r="H11" s="119" t="s">
        <v>773</v>
      </c>
      <c r="I11" s="119" t="s">
        <v>1599</v>
      </c>
      <c r="J11" s="119" t="s">
        <v>1600</v>
      </c>
      <c r="K11" s="119" t="s">
        <v>1601</v>
      </c>
    </row>
    <row r="12" spans="1:11" x14ac:dyDescent="0.25">
      <c r="A12" s="119" t="s">
        <v>1672</v>
      </c>
      <c r="B12" s="119" t="s">
        <v>950</v>
      </c>
      <c r="C12" s="119" t="s">
        <v>1673</v>
      </c>
      <c r="D12" s="119" t="s">
        <v>1212</v>
      </c>
      <c r="E12" s="119" t="s">
        <v>733</v>
      </c>
      <c r="F12" s="119" t="s">
        <v>741</v>
      </c>
      <c r="G12" s="119" t="s">
        <v>951</v>
      </c>
      <c r="H12" s="119" t="s">
        <v>952</v>
      </c>
      <c r="I12" s="119" t="s">
        <v>1674</v>
      </c>
      <c r="J12" s="119" t="s">
        <v>1675</v>
      </c>
      <c r="K12" s="119" t="s">
        <v>1676</v>
      </c>
    </row>
    <row r="13" spans="1:11" x14ac:dyDescent="0.25">
      <c r="A13" s="119" t="s">
        <v>1787</v>
      </c>
      <c r="B13" s="119" t="s">
        <v>759</v>
      </c>
      <c r="C13" s="119" t="s">
        <v>1788</v>
      </c>
      <c r="D13" s="119" t="s">
        <v>1212</v>
      </c>
      <c r="E13" s="119" t="s">
        <v>733</v>
      </c>
      <c r="F13" s="119" t="s">
        <v>741</v>
      </c>
      <c r="G13" s="119" t="s">
        <v>760</v>
      </c>
      <c r="H13" s="119" t="s">
        <v>761</v>
      </c>
      <c r="I13" s="119" t="s">
        <v>1789</v>
      </c>
      <c r="J13" s="119" t="s">
        <v>1790</v>
      </c>
      <c r="K13" s="119" t="s">
        <v>1791</v>
      </c>
    </row>
    <row r="14" spans="1:11" x14ac:dyDescent="0.25">
      <c r="A14" s="119" t="s">
        <v>1544</v>
      </c>
      <c r="B14" s="119" t="s">
        <v>1052</v>
      </c>
      <c r="C14" s="119" t="s">
        <v>1545</v>
      </c>
      <c r="D14" s="119" t="s">
        <v>1212</v>
      </c>
      <c r="E14" s="119" t="s">
        <v>733</v>
      </c>
      <c r="F14" s="119" t="s">
        <v>741</v>
      </c>
      <c r="G14" s="119" t="s">
        <v>1053</v>
      </c>
      <c r="H14" s="119" t="s">
        <v>1054</v>
      </c>
      <c r="I14" s="119" t="s">
        <v>1546</v>
      </c>
      <c r="J14" s="119" t="s">
        <v>1547</v>
      </c>
      <c r="K14" s="119" t="s">
        <v>1548</v>
      </c>
    </row>
    <row r="15" spans="1:11" x14ac:dyDescent="0.25">
      <c r="A15" s="119" t="s">
        <v>1692</v>
      </c>
      <c r="B15" s="119" t="s">
        <v>1109</v>
      </c>
      <c r="C15" s="119" t="s">
        <v>1693</v>
      </c>
      <c r="D15" s="119" t="s">
        <v>1212</v>
      </c>
      <c r="E15" s="119" t="s">
        <v>733</v>
      </c>
      <c r="F15" s="119" t="s">
        <v>741</v>
      </c>
      <c r="G15" s="119" t="s">
        <v>1110</v>
      </c>
      <c r="H15" s="119" t="s">
        <v>1111</v>
      </c>
      <c r="I15" s="119" t="s">
        <v>1694</v>
      </c>
      <c r="J15" s="119" t="s">
        <v>1695</v>
      </c>
      <c r="K15" s="119" t="s">
        <v>1696</v>
      </c>
    </row>
    <row r="16" spans="1:11" x14ac:dyDescent="0.25">
      <c r="A16" s="119" t="s">
        <v>1807</v>
      </c>
      <c r="B16" s="119" t="s">
        <v>1028</v>
      </c>
      <c r="C16" s="119" t="s">
        <v>1808</v>
      </c>
      <c r="D16" s="119" t="s">
        <v>1212</v>
      </c>
      <c r="E16" s="119" t="s">
        <v>733</v>
      </c>
      <c r="F16" s="119" t="s">
        <v>741</v>
      </c>
      <c r="G16" s="119" t="s">
        <v>1029</v>
      </c>
      <c r="H16" s="119" t="s">
        <v>1030</v>
      </c>
      <c r="I16" s="119" t="s">
        <v>1809</v>
      </c>
      <c r="J16" s="119" t="s">
        <v>1810</v>
      </c>
      <c r="K16" s="119" t="s">
        <v>1811</v>
      </c>
    </row>
    <row r="17" spans="1:11" x14ac:dyDescent="0.25">
      <c r="A17" s="119" t="s">
        <v>1524</v>
      </c>
      <c r="B17" s="119" t="s">
        <v>888</v>
      </c>
      <c r="C17" s="119" t="s">
        <v>1525</v>
      </c>
      <c r="D17" s="119" t="s">
        <v>1212</v>
      </c>
      <c r="E17" s="119" t="s">
        <v>733</v>
      </c>
      <c r="F17" s="119" t="s">
        <v>741</v>
      </c>
      <c r="G17" s="119" t="s">
        <v>889</v>
      </c>
      <c r="H17" s="119" t="s">
        <v>890</v>
      </c>
      <c r="I17" s="119" t="s">
        <v>1526</v>
      </c>
      <c r="J17" s="119" t="s">
        <v>1527</v>
      </c>
      <c r="K17" s="119" t="s">
        <v>1528</v>
      </c>
    </row>
    <row r="18" spans="1:11" x14ac:dyDescent="0.25">
      <c r="A18" s="119" t="s">
        <v>1346</v>
      </c>
      <c r="B18" s="119" t="s">
        <v>777</v>
      </c>
      <c r="C18" s="119" t="s">
        <v>1347</v>
      </c>
      <c r="D18" s="119" t="s">
        <v>1212</v>
      </c>
      <c r="E18" s="119" t="s">
        <v>733</v>
      </c>
      <c r="F18" s="119" t="s">
        <v>741</v>
      </c>
      <c r="G18" s="119" t="s">
        <v>778</v>
      </c>
      <c r="H18" s="119" t="s">
        <v>779</v>
      </c>
      <c r="I18" s="119" t="s">
        <v>1348</v>
      </c>
      <c r="J18" s="119" t="s">
        <v>1349</v>
      </c>
      <c r="K18" s="119" t="s">
        <v>1350</v>
      </c>
    </row>
    <row r="19" spans="1:11" x14ac:dyDescent="0.25">
      <c r="A19" s="119" t="s">
        <v>1872</v>
      </c>
      <c r="B19" s="119" t="s">
        <v>965</v>
      </c>
      <c r="C19" s="119" t="s">
        <v>1873</v>
      </c>
      <c r="D19" s="119" t="s">
        <v>1212</v>
      </c>
      <c r="E19" s="119" t="s">
        <v>733</v>
      </c>
      <c r="F19" s="119" t="s">
        <v>741</v>
      </c>
      <c r="G19" s="119" t="s">
        <v>966</v>
      </c>
      <c r="H19" s="119" t="s">
        <v>967</v>
      </c>
      <c r="I19" s="119" t="s">
        <v>1874</v>
      </c>
      <c r="J19" s="119" t="s">
        <v>1875</v>
      </c>
      <c r="K19" s="119" t="s">
        <v>1876</v>
      </c>
    </row>
    <row r="20" spans="1:11" x14ac:dyDescent="0.25">
      <c r="A20" s="119" t="s">
        <v>1627</v>
      </c>
      <c r="B20" s="119" t="s">
        <v>789</v>
      </c>
      <c r="C20" s="119" t="s">
        <v>1628</v>
      </c>
      <c r="D20" s="119" t="s">
        <v>1212</v>
      </c>
      <c r="E20" s="119" t="s">
        <v>733</v>
      </c>
      <c r="F20" s="119" t="s">
        <v>741</v>
      </c>
      <c r="G20" s="119" t="s">
        <v>790</v>
      </c>
      <c r="H20" s="119" t="s">
        <v>791</v>
      </c>
      <c r="I20" s="119" t="s">
        <v>1629</v>
      </c>
      <c r="J20" s="119" t="s">
        <v>1630</v>
      </c>
      <c r="K20" s="119" t="s">
        <v>1631</v>
      </c>
    </row>
    <row r="21" spans="1:11" x14ac:dyDescent="0.25">
      <c r="A21" s="119" t="s">
        <v>1301</v>
      </c>
      <c r="B21" s="119" t="s">
        <v>1043</v>
      </c>
      <c r="C21" s="119" t="s">
        <v>1302</v>
      </c>
      <c r="D21" s="119" t="s">
        <v>1212</v>
      </c>
      <c r="E21" s="119" t="s">
        <v>733</v>
      </c>
      <c r="F21" s="119" t="s">
        <v>741</v>
      </c>
      <c r="G21" s="119" t="s">
        <v>1044</v>
      </c>
      <c r="H21" s="119" t="s">
        <v>1045</v>
      </c>
      <c r="I21" s="119" t="s">
        <v>1303</v>
      </c>
      <c r="J21" s="119" t="s">
        <v>1304</v>
      </c>
      <c r="K21" s="119" t="s">
        <v>1305</v>
      </c>
    </row>
    <row r="22" spans="1:11" x14ac:dyDescent="0.25">
      <c r="A22" s="119" t="s">
        <v>1937</v>
      </c>
      <c r="B22" s="119" t="s">
        <v>1127</v>
      </c>
      <c r="C22" s="119" t="s">
        <v>1938</v>
      </c>
      <c r="D22" s="119" t="s">
        <v>1212</v>
      </c>
      <c r="E22" s="119" t="s">
        <v>733</v>
      </c>
      <c r="F22" s="119" t="s">
        <v>741</v>
      </c>
      <c r="G22" s="119" t="s">
        <v>1128</v>
      </c>
      <c r="H22" s="119" t="s">
        <v>1129</v>
      </c>
      <c r="I22" s="119" t="s">
        <v>1939</v>
      </c>
      <c r="J22" s="119" t="s">
        <v>1940</v>
      </c>
      <c r="K22" s="119" t="s">
        <v>1941</v>
      </c>
    </row>
    <row r="23" spans="1:11" x14ac:dyDescent="0.25">
      <c r="A23" s="119" t="s">
        <v>1246</v>
      </c>
      <c r="B23" s="119" t="s">
        <v>1010</v>
      </c>
      <c r="C23" s="119" t="s">
        <v>1247</v>
      </c>
      <c r="D23" s="119" t="s">
        <v>1212</v>
      </c>
      <c r="E23" s="119" t="s">
        <v>733</v>
      </c>
      <c r="F23" s="119" t="s">
        <v>741</v>
      </c>
      <c r="G23" s="119" t="s">
        <v>1011</v>
      </c>
      <c r="H23" s="119" t="s">
        <v>1012</v>
      </c>
      <c r="I23" s="119" t="s">
        <v>1248</v>
      </c>
      <c r="J23" s="119" t="s">
        <v>1249</v>
      </c>
      <c r="K23" s="119" t="s">
        <v>1250</v>
      </c>
    </row>
    <row r="24" spans="1:11" x14ac:dyDescent="0.25">
      <c r="A24" s="119" t="s">
        <v>1564</v>
      </c>
      <c r="B24" s="119" t="s">
        <v>911</v>
      </c>
      <c r="C24" s="119" t="s">
        <v>1565</v>
      </c>
      <c r="D24" s="119" t="s">
        <v>1212</v>
      </c>
      <c r="E24" s="119" t="s">
        <v>733</v>
      </c>
      <c r="F24" s="119" t="s">
        <v>741</v>
      </c>
      <c r="G24" s="119" t="s">
        <v>912</v>
      </c>
      <c r="H24" s="119" t="s">
        <v>913</v>
      </c>
      <c r="I24" s="119" t="s">
        <v>1566</v>
      </c>
      <c r="J24" s="119" t="s">
        <v>1567</v>
      </c>
      <c r="K24" s="119" t="s">
        <v>1568</v>
      </c>
    </row>
    <row r="25" spans="1:11" x14ac:dyDescent="0.25">
      <c r="A25" s="119" t="s">
        <v>1221</v>
      </c>
      <c r="B25" s="119" t="s">
        <v>756</v>
      </c>
      <c r="C25" s="119" t="s">
        <v>1222</v>
      </c>
      <c r="D25" s="119" t="s">
        <v>1212</v>
      </c>
      <c r="E25" s="119" t="s">
        <v>733</v>
      </c>
      <c r="F25" s="119" t="s">
        <v>741</v>
      </c>
      <c r="G25" s="119" t="s">
        <v>757</v>
      </c>
      <c r="H25" s="119" t="s">
        <v>758</v>
      </c>
      <c r="I25" s="119" t="s">
        <v>1223</v>
      </c>
      <c r="J25" s="119" t="s">
        <v>1224</v>
      </c>
      <c r="K25" s="119" t="s">
        <v>1225</v>
      </c>
    </row>
    <row r="26" spans="1:11" x14ac:dyDescent="0.25">
      <c r="A26" s="119" t="s">
        <v>1837</v>
      </c>
      <c r="B26" s="119" t="s">
        <v>1070</v>
      </c>
      <c r="C26" s="119" t="s">
        <v>1838</v>
      </c>
      <c r="D26" s="119" t="s">
        <v>1212</v>
      </c>
      <c r="E26" s="119" t="s">
        <v>733</v>
      </c>
      <c r="F26" s="119" t="s">
        <v>741</v>
      </c>
      <c r="G26" s="119" t="s">
        <v>1071</v>
      </c>
      <c r="H26" s="119" t="s">
        <v>1072</v>
      </c>
      <c r="I26" s="119" t="s">
        <v>1839</v>
      </c>
      <c r="J26" s="119" t="s">
        <v>1840</v>
      </c>
      <c r="K26" s="119" t="s">
        <v>1841</v>
      </c>
    </row>
    <row r="27" spans="1:11" x14ac:dyDescent="0.25">
      <c r="A27" s="119" t="s">
        <v>1236</v>
      </c>
      <c r="B27" s="119" t="s">
        <v>753</v>
      </c>
      <c r="C27" s="119" t="s">
        <v>1237</v>
      </c>
      <c r="D27" s="119" t="s">
        <v>1212</v>
      </c>
      <c r="E27" s="119" t="s">
        <v>733</v>
      </c>
      <c r="F27" s="119" t="s">
        <v>741</v>
      </c>
      <c r="G27" s="119" t="s">
        <v>754</v>
      </c>
      <c r="H27" s="119" t="s">
        <v>755</v>
      </c>
      <c r="I27" s="119" t="s">
        <v>1238</v>
      </c>
      <c r="J27" s="119" t="s">
        <v>1239</v>
      </c>
      <c r="K27" s="119" t="s">
        <v>1240</v>
      </c>
    </row>
    <row r="28" spans="1:11" x14ac:dyDescent="0.25">
      <c r="A28" s="119" t="s">
        <v>1296</v>
      </c>
      <c r="B28" s="119" t="s">
        <v>1040</v>
      </c>
      <c r="C28" s="119" t="s">
        <v>1297</v>
      </c>
      <c r="D28" s="119" t="s">
        <v>1212</v>
      </c>
      <c r="E28" s="119" t="s">
        <v>733</v>
      </c>
      <c r="F28" s="119" t="s">
        <v>741</v>
      </c>
      <c r="G28" s="119" t="s">
        <v>1041</v>
      </c>
      <c r="H28" s="119" t="s">
        <v>1042</v>
      </c>
      <c r="I28" s="119" t="s">
        <v>1298</v>
      </c>
      <c r="J28" s="119" t="s">
        <v>1299</v>
      </c>
      <c r="K28" s="119" t="s">
        <v>1300</v>
      </c>
    </row>
    <row r="29" spans="1:11" x14ac:dyDescent="0.25">
      <c r="A29" s="119" t="s">
        <v>1326</v>
      </c>
      <c r="B29" s="119" t="s">
        <v>923</v>
      </c>
      <c r="C29" s="119" t="s">
        <v>1327</v>
      </c>
      <c r="D29" s="119" t="s">
        <v>1212</v>
      </c>
      <c r="E29" s="119" t="s">
        <v>733</v>
      </c>
      <c r="F29" s="119" t="s">
        <v>741</v>
      </c>
      <c r="G29" s="119" t="s">
        <v>924</v>
      </c>
      <c r="H29" s="119" t="s">
        <v>925</v>
      </c>
      <c r="I29" s="119" t="s">
        <v>1328</v>
      </c>
      <c r="J29" s="119" t="s">
        <v>1329</v>
      </c>
      <c r="K29" s="119" t="s">
        <v>1330</v>
      </c>
    </row>
    <row r="30" spans="1:11" x14ac:dyDescent="0.25">
      <c r="A30" s="119" t="s">
        <v>1782</v>
      </c>
      <c r="B30" s="119" t="s">
        <v>909</v>
      </c>
      <c r="C30" s="119" t="s">
        <v>1783</v>
      </c>
      <c r="D30" s="119" t="s">
        <v>1212</v>
      </c>
      <c r="E30" s="119" t="s">
        <v>733</v>
      </c>
      <c r="F30" s="119" t="s">
        <v>741</v>
      </c>
      <c r="G30" s="119" t="s">
        <v>66</v>
      </c>
      <c r="H30" s="119" t="s">
        <v>910</v>
      </c>
      <c r="I30" s="119" t="s">
        <v>1784</v>
      </c>
      <c r="J30" s="119" t="s">
        <v>1785</v>
      </c>
      <c r="K30" s="119" t="s">
        <v>1786</v>
      </c>
    </row>
    <row r="31" spans="1:11" x14ac:dyDescent="0.25">
      <c r="A31" s="119" t="s">
        <v>1559</v>
      </c>
      <c r="B31" s="119" t="s">
        <v>774</v>
      </c>
      <c r="C31" s="119" t="s">
        <v>1560</v>
      </c>
      <c r="D31" s="119" t="s">
        <v>1212</v>
      </c>
      <c r="E31" s="119" t="s">
        <v>733</v>
      </c>
      <c r="F31" s="119" t="s">
        <v>741</v>
      </c>
      <c r="G31" s="119" t="s">
        <v>775</v>
      </c>
      <c r="H31" s="119" t="s">
        <v>776</v>
      </c>
      <c r="I31" s="119" t="s">
        <v>1561</v>
      </c>
      <c r="J31" s="119" t="s">
        <v>1562</v>
      </c>
      <c r="K31" s="119" t="s">
        <v>1563</v>
      </c>
    </row>
    <row r="32" spans="1:11" x14ac:dyDescent="0.25">
      <c r="A32" s="119" t="s">
        <v>1451</v>
      </c>
      <c r="B32" s="119" t="s">
        <v>843</v>
      </c>
      <c r="C32" s="119" t="s">
        <v>1452</v>
      </c>
      <c r="D32" s="119" t="s">
        <v>1212</v>
      </c>
      <c r="E32" s="119" t="s">
        <v>733</v>
      </c>
      <c r="F32" s="119" t="s">
        <v>741</v>
      </c>
      <c r="G32" s="119" t="s">
        <v>844</v>
      </c>
      <c r="H32" s="119" t="s">
        <v>845</v>
      </c>
      <c r="I32" s="119" t="s">
        <v>1303</v>
      </c>
      <c r="J32" s="119" t="s">
        <v>1304</v>
      </c>
      <c r="K32" s="119" t="s">
        <v>1453</v>
      </c>
    </row>
    <row r="33" spans="1:11" x14ac:dyDescent="0.25">
      <c r="A33" s="119" t="s">
        <v>1261</v>
      </c>
      <c r="B33" s="119" t="s">
        <v>1148</v>
      </c>
      <c r="C33" s="119" t="s">
        <v>1262</v>
      </c>
      <c r="D33" s="119" t="s">
        <v>1212</v>
      </c>
      <c r="E33" s="119" t="s">
        <v>733</v>
      </c>
      <c r="F33" s="119" t="s">
        <v>741</v>
      </c>
      <c r="G33" s="119" t="s">
        <v>1149</v>
      </c>
      <c r="H33" s="119" t="s">
        <v>1150</v>
      </c>
      <c r="I33" s="119" t="s">
        <v>1263</v>
      </c>
      <c r="J33" s="119" t="s">
        <v>1264</v>
      </c>
      <c r="K33" s="119" t="s">
        <v>1265</v>
      </c>
    </row>
    <row r="34" spans="1:11" x14ac:dyDescent="0.25">
      <c r="A34" s="119" t="s">
        <v>1459</v>
      </c>
      <c r="B34" s="119" t="s">
        <v>980</v>
      </c>
      <c r="C34" s="119" t="s">
        <v>1460</v>
      </c>
      <c r="D34" s="119" t="s">
        <v>1212</v>
      </c>
      <c r="E34" s="119" t="s">
        <v>733</v>
      </c>
      <c r="F34" s="119" t="s">
        <v>741</v>
      </c>
      <c r="G34" s="119" t="s">
        <v>981</v>
      </c>
      <c r="H34" s="119" t="s">
        <v>982</v>
      </c>
      <c r="I34" s="119" t="s">
        <v>1461</v>
      </c>
      <c r="J34" s="119" t="s">
        <v>1462</v>
      </c>
      <c r="K34" s="119" t="s">
        <v>1463</v>
      </c>
    </row>
    <row r="35" spans="1:11" x14ac:dyDescent="0.25">
      <c r="A35" s="119" t="s">
        <v>1792</v>
      </c>
      <c r="B35" s="119" t="s">
        <v>1046</v>
      </c>
      <c r="C35" s="119" t="s">
        <v>1793</v>
      </c>
      <c r="D35" s="119" t="s">
        <v>1212</v>
      </c>
      <c r="E35" s="119" t="s">
        <v>733</v>
      </c>
      <c r="F35" s="119" t="s">
        <v>741</v>
      </c>
      <c r="G35" s="119" t="s">
        <v>1047</v>
      </c>
      <c r="H35" s="119" t="s">
        <v>1048</v>
      </c>
      <c r="I35" s="119" t="s">
        <v>1794</v>
      </c>
      <c r="J35" s="119" t="s">
        <v>1795</v>
      </c>
      <c r="K35" s="119" t="s">
        <v>1796</v>
      </c>
    </row>
    <row r="36" spans="1:11" x14ac:dyDescent="0.25">
      <c r="A36" s="119" t="s">
        <v>1677</v>
      </c>
      <c r="B36" s="119" t="s">
        <v>819</v>
      </c>
      <c r="C36" s="119" t="s">
        <v>1678</v>
      </c>
      <c r="D36" s="119" t="s">
        <v>1212</v>
      </c>
      <c r="E36" s="119" t="s">
        <v>733</v>
      </c>
      <c r="F36" s="119" t="s">
        <v>741</v>
      </c>
      <c r="G36" s="119" t="s">
        <v>820</v>
      </c>
      <c r="H36" s="119" t="s">
        <v>821</v>
      </c>
      <c r="I36" s="119" t="s">
        <v>1679</v>
      </c>
      <c r="J36" s="119" t="s">
        <v>1680</v>
      </c>
      <c r="K36" s="119" t="s">
        <v>1681</v>
      </c>
    </row>
    <row r="37" spans="1:11" x14ac:dyDescent="0.25">
      <c r="A37" s="119" t="s">
        <v>1321</v>
      </c>
      <c r="B37" s="119" t="s">
        <v>1157</v>
      </c>
      <c r="C37" s="119" t="s">
        <v>1322</v>
      </c>
      <c r="D37" s="119" t="s">
        <v>1212</v>
      </c>
      <c r="E37" s="119" t="s">
        <v>733</v>
      </c>
      <c r="F37" s="119" t="s">
        <v>741</v>
      </c>
      <c r="G37" s="119" t="s">
        <v>1158</v>
      </c>
      <c r="H37" s="119" t="s">
        <v>1159</v>
      </c>
      <c r="I37" s="119" t="s">
        <v>1323</v>
      </c>
      <c r="J37" s="119" t="s">
        <v>1324</v>
      </c>
      <c r="K37" s="119" t="s">
        <v>1325</v>
      </c>
    </row>
    <row r="38" spans="1:11" x14ac:dyDescent="0.25">
      <c r="A38" s="119" t="s">
        <v>1509</v>
      </c>
      <c r="B38" s="119" t="s">
        <v>1166</v>
      </c>
      <c r="C38" s="119" t="s">
        <v>1510</v>
      </c>
      <c r="D38" s="119" t="s">
        <v>1212</v>
      </c>
      <c r="E38" s="119" t="s">
        <v>733</v>
      </c>
      <c r="F38" s="119" t="s">
        <v>741</v>
      </c>
      <c r="G38" s="119" t="s">
        <v>1167</v>
      </c>
      <c r="H38" s="119" t="s">
        <v>1168</v>
      </c>
      <c r="I38" s="119" t="s">
        <v>1511</v>
      </c>
      <c r="J38" s="119" t="s">
        <v>1512</v>
      </c>
      <c r="K38" s="119" t="s">
        <v>1513</v>
      </c>
    </row>
    <row r="39" spans="1:11" x14ac:dyDescent="0.25">
      <c r="A39" s="119" t="s">
        <v>1812</v>
      </c>
      <c r="B39" s="119" t="s">
        <v>792</v>
      </c>
      <c r="C39" s="119" t="s">
        <v>1813</v>
      </c>
      <c r="D39" s="119" t="s">
        <v>1212</v>
      </c>
      <c r="E39" s="119" t="s">
        <v>733</v>
      </c>
      <c r="F39" s="119" t="s">
        <v>741</v>
      </c>
      <c r="G39" s="119" t="s">
        <v>793</v>
      </c>
      <c r="H39" s="119" t="s">
        <v>794</v>
      </c>
      <c r="I39" s="119" t="s">
        <v>1814</v>
      </c>
      <c r="J39" s="119" t="s">
        <v>1815</v>
      </c>
      <c r="K39" s="119" t="s">
        <v>1816</v>
      </c>
    </row>
    <row r="40" spans="1:11" x14ac:dyDescent="0.25">
      <c r="A40" s="119" t="s">
        <v>1617</v>
      </c>
      <c r="B40" s="119" t="s">
        <v>944</v>
      </c>
      <c r="C40" s="119" t="s">
        <v>1618</v>
      </c>
      <c r="D40" s="119" t="s">
        <v>1212</v>
      </c>
      <c r="E40" s="119" t="s">
        <v>733</v>
      </c>
      <c r="F40" s="119" t="s">
        <v>741</v>
      </c>
      <c r="G40" s="119" t="s">
        <v>945</v>
      </c>
      <c r="H40" s="119" t="s">
        <v>946</v>
      </c>
      <c r="I40" s="119" t="s">
        <v>1619</v>
      </c>
      <c r="J40" s="119" t="s">
        <v>1620</v>
      </c>
      <c r="K40" s="119" t="s">
        <v>1621</v>
      </c>
    </row>
    <row r="41" spans="1:11" x14ac:dyDescent="0.25">
      <c r="A41" s="119" t="s">
        <v>1922</v>
      </c>
      <c r="B41" s="119" t="s">
        <v>989</v>
      </c>
      <c r="C41" s="119" t="s">
        <v>1923</v>
      </c>
      <c r="D41" s="119" t="s">
        <v>1212</v>
      </c>
      <c r="E41" s="119" t="s">
        <v>733</v>
      </c>
      <c r="F41" s="119" t="s">
        <v>741</v>
      </c>
      <c r="G41" s="119" t="s">
        <v>990</v>
      </c>
      <c r="H41" s="119" t="s">
        <v>991</v>
      </c>
      <c r="I41" s="119" t="s">
        <v>1924</v>
      </c>
      <c r="J41" s="119" t="s">
        <v>1925</v>
      </c>
      <c r="K41" s="119" t="s">
        <v>1926</v>
      </c>
    </row>
    <row r="42" spans="1:11" x14ac:dyDescent="0.25">
      <c r="A42" s="119" t="s">
        <v>1832</v>
      </c>
      <c r="B42" s="119" t="s">
        <v>1067</v>
      </c>
      <c r="C42" s="119" t="s">
        <v>1833</v>
      </c>
      <c r="D42" s="119" t="s">
        <v>1212</v>
      </c>
      <c r="E42" s="119" t="s">
        <v>733</v>
      </c>
      <c r="F42" s="119" t="s">
        <v>741</v>
      </c>
      <c r="G42" s="119" t="s">
        <v>1068</v>
      </c>
      <c r="H42" s="119" t="s">
        <v>1069</v>
      </c>
      <c r="I42" s="119" t="s">
        <v>1834</v>
      </c>
      <c r="J42" s="119" t="s">
        <v>1835</v>
      </c>
      <c r="K42" s="119" t="s">
        <v>1836</v>
      </c>
    </row>
    <row r="43" spans="1:11" x14ac:dyDescent="0.25">
      <c r="A43" s="119" t="s">
        <v>1216</v>
      </c>
      <c r="B43" s="119" t="s">
        <v>744</v>
      </c>
      <c r="C43" s="119" t="s">
        <v>1217</v>
      </c>
      <c r="D43" s="119" t="s">
        <v>1212</v>
      </c>
      <c r="E43" s="119" t="s">
        <v>733</v>
      </c>
      <c r="F43" s="119" t="s">
        <v>741</v>
      </c>
      <c r="G43" s="119" t="s">
        <v>745</v>
      </c>
      <c r="H43" s="119" t="s">
        <v>746</v>
      </c>
      <c r="I43" s="119" t="s">
        <v>1218</v>
      </c>
      <c r="J43" s="119" t="s">
        <v>1219</v>
      </c>
      <c r="K43" s="119" t="s">
        <v>1220</v>
      </c>
    </row>
    <row r="44" spans="1:11" x14ac:dyDescent="0.25">
      <c r="A44" s="119" t="s">
        <v>1742</v>
      </c>
      <c r="B44" s="119" t="s">
        <v>882</v>
      </c>
      <c r="C44" s="119" t="s">
        <v>1743</v>
      </c>
      <c r="D44" s="119" t="s">
        <v>1212</v>
      </c>
      <c r="E44" s="119" t="s">
        <v>733</v>
      </c>
      <c r="F44" s="119" t="s">
        <v>741</v>
      </c>
      <c r="G44" s="119" t="s">
        <v>883</v>
      </c>
      <c r="H44" s="119" t="s">
        <v>884</v>
      </c>
      <c r="I44" s="119" t="s">
        <v>1744</v>
      </c>
      <c r="J44" s="119" t="s">
        <v>1745</v>
      </c>
      <c r="K44" s="119" t="s">
        <v>1746</v>
      </c>
    </row>
    <row r="45" spans="1:11" x14ac:dyDescent="0.25">
      <c r="A45" s="119" t="s">
        <v>1446</v>
      </c>
      <c r="B45" s="119" t="s">
        <v>840</v>
      </c>
      <c r="C45" s="119" t="s">
        <v>1447</v>
      </c>
      <c r="D45" s="119" t="s">
        <v>1212</v>
      </c>
      <c r="E45" s="119" t="s">
        <v>733</v>
      </c>
      <c r="F45" s="119" t="s">
        <v>741</v>
      </c>
      <c r="G45" s="119" t="s">
        <v>841</v>
      </c>
      <c r="H45" s="119" t="s">
        <v>842</v>
      </c>
      <c r="I45" s="119" t="s">
        <v>1448</v>
      </c>
      <c r="J45" s="119" t="s">
        <v>1449</v>
      </c>
      <c r="K45" s="119" t="s">
        <v>1450</v>
      </c>
    </row>
    <row r="46" spans="1:11" x14ac:dyDescent="0.25">
      <c r="A46" s="119" t="s">
        <v>1737</v>
      </c>
      <c r="B46" s="119" t="s">
        <v>879</v>
      </c>
      <c r="C46" s="119" t="s">
        <v>1738</v>
      </c>
      <c r="D46" s="119" t="s">
        <v>1212</v>
      </c>
      <c r="E46" s="119" t="s">
        <v>733</v>
      </c>
      <c r="F46" s="119" t="s">
        <v>741</v>
      </c>
      <c r="G46" s="119" t="s">
        <v>880</v>
      </c>
      <c r="H46" s="119" t="s">
        <v>881</v>
      </c>
      <c r="I46" s="119" t="s">
        <v>1739</v>
      </c>
      <c r="J46" s="119" t="s">
        <v>1740</v>
      </c>
      <c r="K46" s="119" t="s">
        <v>1741</v>
      </c>
    </row>
    <row r="47" spans="1:11" x14ac:dyDescent="0.25">
      <c r="A47" s="119" t="s">
        <v>1256</v>
      </c>
      <c r="B47" s="119" t="s">
        <v>1016</v>
      </c>
      <c r="C47" s="119" t="s">
        <v>1257</v>
      </c>
      <c r="D47" s="119" t="s">
        <v>1212</v>
      </c>
      <c r="E47" s="119" t="s">
        <v>733</v>
      </c>
      <c r="F47" s="119" t="s">
        <v>741</v>
      </c>
      <c r="G47" s="119" t="s">
        <v>1017</v>
      </c>
      <c r="H47" s="119" t="s">
        <v>1018</v>
      </c>
      <c r="I47" s="119" t="s">
        <v>1258</v>
      </c>
      <c r="J47" s="119" t="s">
        <v>1259</v>
      </c>
      <c r="K47" s="119" t="s">
        <v>1260</v>
      </c>
    </row>
    <row r="48" spans="1:11" x14ac:dyDescent="0.25">
      <c r="A48" s="119" t="s">
        <v>1569</v>
      </c>
      <c r="B48" s="119" t="s">
        <v>914</v>
      </c>
      <c r="C48" s="119" t="s">
        <v>1570</v>
      </c>
      <c r="D48" s="119" t="s">
        <v>1212</v>
      </c>
      <c r="E48" s="119" t="s">
        <v>733</v>
      </c>
      <c r="F48" s="119" t="s">
        <v>741</v>
      </c>
      <c r="G48" s="119" t="s">
        <v>915</v>
      </c>
      <c r="H48" s="119" t="s">
        <v>916</v>
      </c>
      <c r="I48" s="119" t="s">
        <v>1571</v>
      </c>
      <c r="J48" s="119" t="s">
        <v>1572</v>
      </c>
      <c r="K48" s="119" t="s">
        <v>1573</v>
      </c>
    </row>
    <row r="49" spans="1:11" x14ac:dyDescent="0.25">
      <c r="A49" s="119" t="s">
        <v>1722</v>
      </c>
      <c r="B49" s="119" t="s">
        <v>998</v>
      </c>
      <c r="C49" s="119" t="s">
        <v>1723</v>
      </c>
      <c r="D49" s="119" t="s">
        <v>1212</v>
      </c>
      <c r="E49" s="119" t="s">
        <v>733</v>
      </c>
      <c r="F49" s="119" t="s">
        <v>741</v>
      </c>
      <c r="G49" s="119" t="s">
        <v>999</v>
      </c>
      <c r="H49" s="119" t="s">
        <v>1000</v>
      </c>
      <c r="I49" s="119" t="s">
        <v>1724</v>
      </c>
      <c r="J49" s="119" t="s">
        <v>1725</v>
      </c>
      <c r="K49" s="119" t="s">
        <v>1726</v>
      </c>
    </row>
    <row r="50" spans="1:11" x14ac:dyDescent="0.25">
      <c r="A50" s="119" t="s">
        <v>1607</v>
      </c>
      <c r="B50" s="119" t="s">
        <v>938</v>
      </c>
      <c r="C50" s="119" t="s">
        <v>1608</v>
      </c>
      <c r="D50" s="119" t="s">
        <v>1212</v>
      </c>
      <c r="E50" s="119" t="s">
        <v>733</v>
      </c>
      <c r="F50" s="119" t="s">
        <v>741</v>
      </c>
      <c r="G50" s="119" t="s">
        <v>939</v>
      </c>
      <c r="H50" s="119" t="s">
        <v>940</v>
      </c>
      <c r="I50" s="119" t="s">
        <v>1609</v>
      </c>
      <c r="J50" s="119" t="s">
        <v>1610</v>
      </c>
      <c r="K50" s="119" t="s">
        <v>1611</v>
      </c>
    </row>
    <row r="51" spans="1:11" x14ac:dyDescent="0.25">
      <c r="A51" s="119" t="s">
        <v>1852</v>
      </c>
      <c r="B51" s="119" t="s">
        <v>1082</v>
      </c>
      <c r="C51" s="119" t="s">
        <v>1853</v>
      </c>
      <c r="D51" s="119" t="s">
        <v>1212</v>
      </c>
      <c r="E51" s="119" t="s">
        <v>733</v>
      </c>
      <c r="F51" s="119" t="s">
        <v>741</v>
      </c>
      <c r="G51" s="119" t="s">
        <v>1083</v>
      </c>
      <c r="H51" s="119" t="s">
        <v>1084</v>
      </c>
      <c r="I51" s="119" t="s">
        <v>1854</v>
      </c>
      <c r="J51" s="119" t="s">
        <v>1855</v>
      </c>
      <c r="K51" s="119" t="s">
        <v>1856</v>
      </c>
    </row>
    <row r="52" spans="1:11" x14ac:dyDescent="0.25">
      <c r="A52" s="119" t="s">
        <v>1797</v>
      </c>
      <c r="B52" s="119" t="s">
        <v>1178</v>
      </c>
      <c r="C52" s="119" t="s">
        <v>1798</v>
      </c>
      <c r="D52" s="119" t="s">
        <v>1212</v>
      </c>
      <c r="E52" s="119" t="s">
        <v>733</v>
      </c>
      <c r="F52" s="119" t="s">
        <v>741</v>
      </c>
      <c r="G52" s="119" t="s">
        <v>1179</v>
      </c>
      <c r="H52" s="119" t="s">
        <v>1180</v>
      </c>
      <c r="I52" s="119" t="s">
        <v>1799</v>
      </c>
      <c r="J52" s="119" t="s">
        <v>1800</v>
      </c>
      <c r="K52" s="119" t="s">
        <v>1801</v>
      </c>
    </row>
    <row r="53" spans="1:11" x14ac:dyDescent="0.25">
      <c r="A53" s="119" t="s">
        <v>1772</v>
      </c>
      <c r="B53" s="119" t="s">
        <v>1163</v>
      </c>
      <c r="C53" s="119" t="s">
        <v>1773</v>
      </c>
      <c r="D53" s="119" t="s">
        <v>1212</v>
      </c>
      <c r="E53" s="119" t="s">
        <v>733</v>
      </c>
      <c r="F53" s="119" t="s">
        <v>741</v>
      </c>
      <c r="G53" s="119" t="s">
        <v>1164</v>
      </c>
      <c r="H53" s="119" t="s">
        <v>1165</v>
      </c>
      <c r="I53" s="119" t="s">
        <v>1774</v>
      </c>
      <c r="J53" s="119" t="s">
        <v>1775</v>
      </c>
      <c r="K53" s="119" t="s">
        <v>1776</v>
      </c>
    </row>
    <row r="54" spans="1:11" x14ac:dyDescent="0.25">
      <c r="A54" s="119" t="s">
        <v>1341</v>
      </c>
      <c r="B54" s="119" t="s">
        <v>1064</v>
      </c>
      <c r="C54" s="119" t="s">
        <v>1342</v>
      </c>
      <c r="D54" s="119" t="s">
        <v>1212</v>
      </c>
      <c r="E54" s="119" t="s">
        <v>733</v>
      </c>
      <c r="F54" s="119" t="s">
        <v>741</v>
      </c>
      <c r="G54" s="119" t="s">
        <v>1065</v>
      </c>
      <c r="H54" s="119" t="s">
        <v>1066</v>
      </c>
      <c r="I54" s="119" t="s">
        <v>1343</v>
      </c>
      <c r="J54" s="119" t="s">
        <v>1344</v>
      </c>
      <c r="K54" s="119" t="s">
        <v>1345</v>
      </c>
    </row>
    <row r="55" spans="1:11" x14ac:dyDescent="0.25">
      <c r="A55" s="119" t="s">
        <v>1241</v>
      </c>
      <c r="B55" s="119" t="s">
        <v>849</v>
      </c>
      <c r="C55" s="119" t="s">
        <v>1242</v>
      </c>
      <c r="D55" s="119" t="s">
        <v>1212</v>
      </c>
      <c r="E55" s="119" t="s">
        <v>733</v>
      </c>
      <c r="F55" s="119" t="s">
        <v>741</v>
      </c>
      <c r="G55" s="119" t="s">
        <v>850</v>
      </c>
      <c r="H55" s="119" t="s">
        <v>851</v>
      </c>
      <c r="I55" s="119" t="s">
        <v>1243</v>
      </c>
      <c r="J55" s="119" t="s">
        <v>1244</v>
      </c>
      <c r="K55" s="119" t="s">
        <v>1245</v>
      </c>
    </row>
    <row r="56" spans="1:11" x14ac:dyDescent="0.25">
      <c r="A56" s="119" t="s">
        <v>1587</v>
      </c>
      <c r="B56" s="119" t="s">
        <v>953</v>
      </c>
      <c r="C56" s="119" t="s">
        <v>1588</v>
      </c>
      <c r="D56" s="119" t="s">
        <v>1212</v>
      </c>
      <c r="E56" s="119" t="s">
        <v>733</v>
      </c>
      <c r="F56" s="119" t="s">
        <v>741</v>
      </c>
      <c r="G56" s="119" t="s">
        <v>954</v>
      </c>
      <c r="H56" s="119" t="s">
        <v>955</v>
      </c>
      <c r="I56" s="119" t="s">
        <v>1589</v>
      </c>
      <c r="J56" s="119" t="s">
        <v>1590</v>
      </c>
      <c r="K56" s="119" t="s">
        <v>1591</v>
      </c>
    </row>
    <row r="57" spans="1:11" x14ac:dyDescent="0.25">
      <c r="A57" s="119" t="s">
        <v>1907</v>
      </c>
      <c r="B57" s="119" t="s">
        <v>903</v>
      </c>
      <c r="C57" s="119" t="s">
        <v>1908</v>
      </c>
      <c r="D57" s="119" t="s">
        <v>1212</v>
      </c>
      <c r="E57" s="119" t="s">
        <v>733</v>
      </c>
      <c r="F57" s="119" t="s">
        <v>741</v>
      </c>
      <c r="G57" s="119" t="s">
        <v>904</v>
      </c>
      <c r="H57" s="119" t="s">
        <v>905</v>
      </c>
      <c r="I57" s="119" t="s">
        <v>1909</v>
      </c>
      <c r="J57" s="119" t="s">
        <v>1910</v>
      </c>
      <c r="K57" s="119" t="s">
        <v>1911</v>
      </c>
    </row>
    <row r="58" spans="1:11" x14ac:dyDescent="0.25">
      <c r="A58" s="119" t="s">
        <v>1632</v>
      </c>
      <c r="B58" s="119" t="s">
        <v>822</v>
      </c>
      <c r="C58" s="119" t="s">
        <v>1633</v>
      </c>
      <c r="D58" s="119" t="s">
        <v>1212</v>
      </c>
      <c r="E58" s="119" t="s">
        <v>733</v>
      </c>
      <c r="F58" s="119" t="s">
        <v>741</v>
      </c>
      <c r="G58" s="119" t="s">
        <v>823</v>
      </c>
      <c r="H58" s="119" t="s">
        <v>824</v>
      </c>
      <c r="I58" s="119" t="s">
        <v>1634</v>
      </c>
      <c r="J58" s="119" t="s">
        <v>1635</v>
      </c>
      <c r="K58" s="119" t="s">
        <v>1636</v>
      </c>
    </row>
    <row r="59" spans="1:11" x14ac:dyDescent="0.25">
      <c r="A59" s="119" t="s">
        <v>1647</v>
      </c>
      <c r="B59" s="119" t="s">
        <v>1142</v>
      </c>
      <c r="C59" s="119" t="s">
        <v>1648</v>
      </c>
      <c r="D59" s="119" t="s">
        <v>1212</v>
      </c>
      <c r="E59" s="119" t="s">
        <v>733</v>
      </c>
      <c r="F59" s="119" t="s">
        <v>741</v>
      </c>
      <c r="G59" s="119" t="s">
        <v>1143</v>
      </c>
      <c r="H59" s="119" t="s">
        <v>1144</v>
      </c>
      <c r="I59" s="119" t="s">
        <v>1649</v>
      </c>
      <c r="J59" s="119" t="s">
        <v>1650</v>
      </c>
      <c r="K59" s="119" t="s">
        <v>1651</v>
      </c>
    </row>
    <row r="60" spans="1:11" x14ac:dyDescent="0.25">
      <c r="A60" s="119" t="s">
        <v>1867</v>
      </c>
      <c r="B60" s="119" t="s">
        <v>855</v>
      </c>
      <c r="C60" s="119" t="s">
        <v>1868</v>
      </c>
      <c r="D60" s="119" t="s">
        <v>1212</v>
      </c>
      <c r="E60" s="119" t="s">
        <v>733</v>
      </c>
      <c r="F60" s="119" t="s">
        <v>741</v>
      </c>
      <c r="G60" s="119" t="s">
        <v>856</v>
      </c>
      <c r="H60" s="119" t="s">
        <v>857</v>
      </c>
      <c r="I60" s="119" t="s">
        <v>1869</v>
      </c>
      <c r="J60" s="119" t="s">
        <v>1870</v>
      </c>
      <c r="K60" s="119" t="s">
        <v>1871</v>
      </c>
    </row>
    <row r="61" spans="1:11" x14ac:dyDescent="0.25">
      <c r="A61" s="119" t="s">
        <v>1286</v>
      </c>
      <c r="B61" s="119" t="s">
        <v>876</v>
      </c>
      <c r="C61" s="119" t="s">
        <v>1287</v>
      </c>
      <c r="D61" s="119" t="s">
        <v>1212</v>
      </c>
      <c r="E61" s="119" t="s">
        <v>733</v>
      </c>
      <c r="F61" s="119" t="s">
        <v>741</v>
      </c>
      <c r="G61" s="119" t="s">
        <v>877</v>
      </c>
      <c r="H61" s="119" t="s">
        <v>878</v>
      </c>
      <c r="I61" s="119" t="s">
        <v>1288</v>
      </c>
      <c r="J61" s="119" t="s">
        <v>1289</v>
      </c>
      <c r="K61" s="119" t="s">
        <v>1290</v>
      </c>
    </row>
    <row r="62" spans="1:11" x14ac:dyDescent="0.25">
      <c r="A62" s="119" t="s">
        <v>1391</v>
      </c>
      <c r="B62" s="119" t="s">
        <v>807</v>
      </c>
      <c r="C62" s="119" t="s">
        <v>1392</v>
      </c>
      <c r="D62" s="119" t="s">
        <v>1212</v>
      </c>
      <c r="E62" s="119" t="s">
        <v>733</v>
      </c>
      <c r="F62" s="119" t="s">
        <v>741</v>
      </c>
      <c r="G62" s="119" t="s">
        <v>808</v>
      </c>
      <c r="H62" s="119" t="s">
        <v>809</v>
      </c>
      <c r="I62" s="119" t="s">
        <v>1393</v>
      </c>
      <c r="J62" s="119" t="s">
        <v>1394</v>
      </c>
      <c r="K62" s="119" t="s">
        <v>1395</v>
      </c>
    </row>
    <row r="63" spans="1:11" x14ac:dyDescent="0.25">
      <c r="A63" s="119" t="s">
        <v>1411</v>
      </c>
      <c r="B63" s="119" t="s">
        <v>1106</v>
      </c>
      <c r="C63" s="119" t="s">
        <v>1412</v>
      </c>
      <c r="D63" s="119" t="s">
        <v>1212</v>
      </c>
      <c r="E63" s="119" t="s">
        <v>733</v>
      </c>
      <c r="F63" s="119" t="s">
        <v>741</v>
      </c>
      <c r="G63" s="119" t="s">
        <v>1107</v>
      </c>
      <c r="H63" s="119" t="s">
        <v>1108</v>
      </c>
      <c r="I63" s="119" t="s">
        <v>1413</v>
      </c>
      <c r="J63" s="119" t="s">
        <v>1414</v>
      </c>
      <c r="K63" s="119" t="s">
        <v>1415</v>
      </c>
    </row>
    <row r="64" spans="1:11" x14ac:dyDescent="0.25">
      <c r="A64" s="119" t="s">
        <v>1226</v>
      </c>
      <c r="B64" s="119" t="s">
        <v>747</v>
      </c>
      <c r="C64" s="119" t="s">
        <v>1227</v>
      </c>
      <c r="D64" s="119" t="s">
        <v>1212</v>
      </c>
      <c r="E64" s="119" t="s">
        <v>733</v>
      </c>
      <c r="F64" s="119" t="s">
        <v>741</v>
      </c>
      <c r="G64" s="119" t="s">
        <v>748</v>
      </c>
      <c r="H64" s="119" t="s">
        <v>749</v>
      </c>
      <c r="I64" s="119" t="s">
        <v>1228</v>
      </c>
      <c r="J64" s="119" t="s">
        <v>1229</v>
      </c>
      <c r="K64" s="119" t="s">
        <v>1230</v>
      </c>
    </row>
    <row r="65" spans="1:11" x14ac:dyDescent="0.25">
      <c r="A65" s="119" t="s">
        <v>1802</v>
      </c>
      <c r="B65" s="119" t="s">
        <v>1049</v>
      </c>
      <c r="C65" s="119" t="s">
        <v>1803</v>
      </c>
      <c r="D65" s="119" t="s">
        <v>1212</v>
      </c>
      <c r="E65" s="119" t="s">
        <v>733</v>
      </c>
      <c r="F65" s="119" t="s">
        <v>741</v>
      </c>
      <c r="G65" s="119" t="s">
        <v>1050</v>
      </c>
      <c r="H65" s="119" t="s">
        <v>1051</v>
      </c>
      <c r="I65" s="119" t="s">
        <v>1804</v>
      </c>
      <c r="J65" s="119" t="s">
        <v>1805</v>
      </c>
      <c r="K65" s="119" t="s">
        <v>1806</v>
      </c>
    </row>
    <row r="66" spans="1:11" x14ac:dyDescent="0.25">
      <c r="A66" s="119" t="s">
        <v>1431</v>
      </c>
      <c r="B66" s="119" t="s">
        <v>801</v>
      </c>
      <c r="C66" s="119" t="s">
        <v>1432</v>
      </c>
      <c r="D66" s="119" t="s">
        <v>1212</v>
      </c>
      <c r="E66" s="119" t="s">
        <v>733</v>
      </c>
      <c r="F66" s="119" t="s">
        <v>741</v>
      </c>
      <c r="G66" s="119" t="s">
        <v>802</v>
      </c>
      <c r="H66" s="119" t="s">
        <v>803</v>
      </c>
      <c r="I66" s="119" t="s">
        <v>1433</v>
      </c>
      <c r="J66" s="119" t="s">
        <v>1434</v>
      </c>
      <c r="K66" s="119" t="s">
        <v>1435</v>
      </c>
    </row>
    <row r="67" spans="1:11" x14ac:dyDescent="0.25">
      <c r="A67" s="119" t="s">
        <v>1271</v>
      </c>
      <c r="B67" s="119" t="s">
        <v>1154</v>
      </c>
      <c r="C67" s="119" t="s">
        <v>1272</v>
      </c>
      <c r="D67" s="119" t="s">
        <v>1212</v>
      </c>
      <c r="E67" s="119" t="s">
        <v>733</v>
      </c>
      <c r="F67" s="119" t="s">
        <v>741</v>
      </c>
      <c r="G67" s="119" t="s">
        <v>1155</v>
      </c>
      <c r="H67" s="119" t="s">
        <v>1156</v>
      </c>
      <c r="I67" s="119" t="s">
        <v>1273</v>
      </c>
      <c r="J67" s="119" t="s">
        <v>1274</v>
      </c>
      <c r="K67" s="119" t="s">
        <v>1275</v>
      </c>
    </row>
    <row r="68" spans="1:11" x14ac:dyDescent="0.25">
      <c r="A68" s="119" t="s">
        <v>1351</v>
      </c>
      <c r="B68" s="119" t="s">
        <v>780</v>
      </c>
      <c r="C68" s="119" t="s">
        <v>1352</v>
      </c>
      <c r="D68" s="119" t="s">
        <v>1212</v>
      </c>
      <c r="E68" s="119" t="s">
        <v>733</v>
      </c>
      <c r="F68" s="119" t="s">
        <v>741</v>
      </c>
      <c r="G68" s="119" t="s">
        <v>781</v>
      </c>
      <c r="H68" s="119" t="s">
        <v>782</v>
      </c>
      <c r="I68" s="119" t="s">
        <v>1353</v>
      </c>
      <c r="J68" s="119" t="s">
        <v>1354</v>
      </c>
      <c r="K68" s="119" t="s">
        <v>1355</v>
      </c>
    </row>
    <row r="69" spans="1:11" x14ac:dyDescent="0.25">
      <c r="A69" s="119" t="s">
        <v>1549</v>
      </c>
      <c r="B69" s="119" t="s">
        <v>768</v>
      </c>
      <c r="C69" s="119" t="s">
        <v>1550</v>
      </c>
      <c r="D69" s="119" t="s">
        <v>1212</v>
      </c>
      <c r="E69" s="119" t="s">
        <v>733</v>
      </c>
      <c r="F69" s="119" t="s">
        <v>741</v>
      </c>
      <c r="G69" s="119" t="s">
        <v>769</v>
      </c>
      <c r="H69" s="119" t="s">
        <v>770</v>
      </c>
      <c r="I69" s="119" t="s">
        <v>1551</v>
      </c>
      <c r="J69" s="119" t="s">
        <v>1552</v>
      </c>
      <c r="K69" s="119" t="s">
        <v>1553</v>
      </c>
    </row>
    <row r="70" spans="1:11" x14ac:dyDescent="0.25">
      <c r="A70" s="119" t="s">
        <v>1897</v>
      </c>
      <c r="B70" s="119" t="s">
        <v>977</v>
      </c>
      <c r="C70" s="119" t="s">
        <v>1898</v>
      </c>
      <c r="D70" s="119" t="s">
        <v>1212</v>
      </c>
      <c r="E70" s="119" t="s">
        <v>733</v>
      </c>
      <c r="F70" s="119" t="s">
        <v>741</v>
      </c>
      <c r="G70" s="119" t="s">
        <v>978</v>
      </c>
      <c r="H70" s="119" t="s">
        <v>979</v>
      </c>
      <c r="I70" s="119" t="s">
        <v>1899</v>
      </c>
      <c r="J70" s="119" t="s">
        <v>1900</v>
      </c>
      <c r="K70" s="119" t="s">
        <v>1901</v>
      </c>
    </row>
    <row r="71" spans="1:11" x14ac:dyDescent="0.25">
      <c r="A71" s="119" t="s">
        <v>1336</v>
      </c>
      <c r="B71" s="119" t="s">
        <v>932</v>
      </c>
      <c r="C71" s="119" t="s">
        <v>1337</v>
      </c>
      <c r="D71" s="119" t="s">
        <v>1212</v>
      </c>
      <c r="E71" s="119" t="s">
        <v>733</v>
      </c>
      <c r="F71" s="119" t="s">
        <v>741</v>
      </c>
      <c r="G71" s="119" t="s">
        <v>933</v>
      </c>
      <c r="H71" s="119" t="s">
        <v>934</v>
      </c>
      <c r="I71" s="119" t="s">
        <v>1338</v>
      </c>
      <c r="J71" s="119" t="s">
        <v>1339</v>
      </c>
      <c r="K71" s="119" t="s">
        <v>1340</v>
      </c>
    </row>
    <row r="72" spans="1:11" x14ac:dyDescent="0.25">
      <c r="A72" s="119" t="s">
        <v>1717</v>
      </c>
      <c r="B72" s="119" t="s">
        <v>1124</v>
      </c>
      <c r="C72" s="119" t="s">
        <v>1718</v>
      </c>
      <c r="D72" s="119" t="s">
        <v>1212</v>
      </c>
      <c r="E72" s="119" t="s">
        <v>733</v>
      </c>
      <c r="F72" s="119" t="s">
        <v>741</v>
      </c>
      <c r="G72" s="119" t="s">
        <v>1125</v>
      </c>
      <c r="H72" s="119" t="s">
        <v>1126</v>
      </c>
      <c r="I72" s="119" t="s">
        <v>1719</v>
      </c>
      <c r="J72" s="119" t="s">
        <v>1720</v>
      </c>
      <c r="K72" s="119" t="s">
        <v>1721</v>
      </c>
    </row>
    <row r="73" spans="1:11" x14ac:dyDescent="0.25">
      <c r="A73" s="119" t="s">
        <v>1371</v>
      </c>
      <c r="B73" s="119" t="s">
        <v>846</v>
      </c>
      <c r="C73" s="119" t="s">
        <v>1372</v>
      </c>
      <c r="D73" s="119" t="s">
        <v>1212</v>
      </c>
      <c r="E73" s="119" t="s">
        <v>733</v>
      </c>
      <c r="F73" s="119" t="s">
        <v>741</v>
      </c>
      <c r="G73" s="119" t="s">
        <v>847</v>
      </c>
      <c r="H73" s="119" t="s">
        <v>848</v>
      </c>
      <c r="I73" s="119" t="s">
        <v>1373</v>
      </c>
      <c r="J73" s="119" t="s">
        <v>1374</v>
      </c>
      <c r="K73" s="119" t="s">
        <v>1375</v>
      </c>
    </row>
    <row r="74" spans="1:11" x14ac:dyDescent="0.25">
      <c r="A74" s="119" t="s">
        <v>1682</v>
      </c>
      <c r="B74" s="119" t="s">
        <v>1133</v>
      </c>
      <c r="C74" s="119" t="s">
        <v>1683</v>
      </c>
      <c r="D74" s="119" t="s">
        <v>1212</v>
      </c>
      <c r="E74" s="119" t="s">
        <v>733</v>
      </c>
      <c r="F74" s="119" t="s">
        <v>741</v>
      </c>
      <c r="G74" s="119" t="s">
        <v>1134</v>
      </c>
      <c r="H74" s="119" t="s">
        <v>1135</v>
      </c>
      <c r="I74" s="119" t="s">
        <v>1684</v>
      </c>
      <c r="J74" s="119" t="s">
        <v>1685</v>
      </c>
      <c r="K74" s="119" t="s">
        <v>1686</v>
      </c>
    </row>
    <row r="75" spans="1:11" x14ac:dyDescent="0.25">
      <c r="A75" s="119" t="s">
        <v>1877</v>
      </c>
      <c r="B75" s="119" t="s">
        <v>1097</v>
      </c>
      <c r="C75" s="119" t="s">
        <v>1878</v>
      </c>
      <c r="D75" s="119" t="s">
        <v>1212</v>
      </c>
      <c r="E75" s="119" t="s">
        <v>733</v>
      </c>
      <c r="F75" s="119" t="s">
        <v>741</v>
      </c>
      <c r="G75" s="119" t="s">
        <v>1098</v>
      </c>
      <c r="H75" s="119" t="s">
        <v>1099</v>
      </c>
      <c r="I75" s="119" t="s">
        <v>1879</v>
      </c>
      <c r="J75" s="119" t="s">
        <v>1880</v>
      </c>
      <c r="K75" s="119" t="s">
        <v>1881</v>
      </c>
    </row>
    <row r="76" spans="1:11" x14ac:dyDescent="0.25">
      <c r="A76" s="119" t="s">
        <v>1356</v>
      </c>
      <c r="B76" s="119" t="s">
        <v>783</v>
      </c>
      <c r="C76" s="119" t="s">
        <v>1357</v>
      </c>
      <c r="D76" s="119" t="s">
        <v>1212</v>
      </c>
      <c r="E76" s="119" t="s">
        <v>733</v>
      </c>
      <c r="F76" s="119" t="s">
        <v>741</v>
      </c>
      <c r="G76" s="119" t="s">
        <v>784</v>
      </c>
      <c r="H76" s="119" t="s">
        <v>785</v>
      </c>
      <c r="I76" s="119" t="s">
        <v>1358</v>
      </c>
      <c r="J76" s="119" t="s">
        <v>1359</v>
      </c>
      <c r="K76" s="119" t="s">
        <v>1360</v>
      </c>
    </row>
    <row r="77" spans="1:11" x14ac:dyDescent="0.25">
      <c r="A77" s="119" t="s">
        <v>1291</v>
      </c>
      <c r="B77" s="119" t="s">
        <v>1037</v>
      </c>
      <c r="C77" s="119" t="s">
        <v>1292</v>
      </c>
      <c r="D77" s="119" t="s">
        <v>1212</v>
      </c>
      <c r="E77" s="119" t="s">
        <v>733</v>
      </c>
      <c r="F77" s="119" t="s">
        <v>741</v>
      </c>
      <c r="G77" s="119" t="s">
        <v>1038</v>
      </c>
      <c r="H77" s="119" t="s">
        <v>1039</v>
      </c>
      <c r="I77" s="119" t="s">
        <v>1293</v>
      </c>
      <c r="J77" s="119" t="s">
        <v>1294</v>
      </c>
      <c r="K77" s="119" t="s">
        <v>1295</v>
      </c>
    </row>
    <row r="78" spans="1:11" x14ac:dyDescent="0.25">
      <c r="A78" s="119" t="s">
        <v>1857</v>
      </c>
      <c r="B78" s="119" t="s">
        <v>1004</v>
      </c>
      <c r="C78" s="119" t="s">
        <v>1858</v>
      </c>
      <c r="D78" s="119" t="s">
        <v>1212</v>
      </c>
      <c r="E78" s="119" t="s">
        <v>733</v>
      </c>
      <c r="F78" s="119" t="s">
        <v>741</v>
      </c>
      <c r="G78" s="119" t="s">
        <v>1005</v>
      </c>
      <c r="H78" s="119" t="s">
        <v>1006</v>
      </c>
      <c r="I78" s="119" t="s">
        <v>1859</v>
      </c>
      <c r="J78" s="119" t="s">
        <v>1860</v>
      </c>
      <c r="K78" s="119" t="s">
        <v>1861</v>
      </c>
    </row>
    <row r="79" spans="1:11" x14ac:dyDescent="0.25">
      <c r="A79" s="119" t="s">
        <v>1822</v>
      </c>
      <c r="B79" s="119" t="s">
        <v>1091</v>
      </c>
      <c r="C79" s="119" t="s">
        <v>1823</v>
      </c>
      <c r="D79" s="119" t="s">
        <v>1212</v>
      </c>
      <c r="E79" s="119" t="s">
        <v>733</v>
      </c>
      <c r="F79" s="119" t="s">
        <v>741</v>
      </c>
      <c r="G79" s="119" t="s">
        <v>1092</v>
      </c>
      <c r="H79" s="119" t="s">
        <v>1093</v>
      </c>
      <c r="I79" s="119" t="s">
        <v>1824</v>
      </c>
      <c r="J79" s="119" t="s">
        <v>1825</v>
      </c>
      <c r="K79" s="119" t="s">
        <v>1826</v>
      </c>
    </row>
    <row r="80" spans="1:11" x14ac:dyDescent="0.25">
      <c r="A80" s="119" t="s">
        <v>1436</v>
      </c>
      <c r="B80" s="119" t="s">
        <v>1118</v>
      </c>
      <c r="C80" s="119" t="s">
        <v>1437</v>
      </c>
      <c r="D80" s="119" t="s">
        <v>1212</v>
      </c>
      <c r="E80" s="119" t="s">
        <v>733</v>
      </c>
      <c r="F80" s="119" t="s">
        <v>741</v>
      </c>
      <c r="G80" s="119" t="s">
        <v>1119</v>
      </c>
      <c r="H80" s="119" t="s">
        <v>1120</v>
      </c>
      <c r="I80" s="119" t="s">
        <v>1438</v>
      </c>
      <c r="J80" s="119" t="s">
        <v>1439</v>
      </c>
      <c r="K80" s="119" t="s">
        <v>1440</v>
      </c>
    </row>
    <row r="81" spans="1:11" x14ac:dyDescent="0.25">
      <c r="A81" s="119" t="s">
        <v>1747</v>
      </c>
      <c r="B81" s="119" t="s">
        <v>885</v>
      </c>
      <c r="C81" s="119" t="s">
        <v>1748</v>
      </c>
      <c r="D81" s="119" t="s">
        <v>1212</v>
      </c>
      <c r="E81" s="119" t="s">
        <v>733</v>
      </c>
      <c r="F81" s="119" t="s">
        <v>741</v>
      </c>
      <c r="G81" s="119" t="s">
        <v>886</v>
      </c>
      <c r="H81" s="119" t="s">
        <v>887</v>
      </c>
      <c r="I81" s="119" t="s">
        <v>1749</v>
      </c>
      <c r="J81" s="119" t="s">
        <v>1750</v>
      </c>
      <c r="K81" s="119" t="s">
        <v>1751</v>
      </c>
    </row>
    <row r="82" spans="1:11" x14ac:dyDescent="0.25">
      <c r="A82" s="119" t="s">
        <v>1529</v>
      </c>
      <c r="B82" s="119" t="s">
        <v>1022</v>
      </c>
      <c r="C82" s="119" t="s">
        <v>1530</v>
      </c>
      <c r="D82" s="119" t="s">
        <v>1212</v>
      </c>
      <c r="E82" s="119" t="s">
        <v>733</v>
      </c>
      <c r="F82" s="119" t="s">
        <v>741</v>
      </c>
      <c r="G82" s="119" t="s">
        <v>1023</v>
      </c>
      <c r="H82" s="119" t="s">
        <v>1024</v>
      </c>
      <c r="I82" s="119" t="s">
        <v>1531</v>
      </c>
      <c r="J82" s="119" t="s">
        <v>1532</v>
      </c>
      <c r="K82" s="119" t="s">
        <v>1533</v>
      </c>
    </row>
    <row r="83" spans="1:11" x14ac:dyDescent="0.25">
      <c r="A83" s="119" t="s">
        <v>1406</v>
      </c>
      <c r="B83" s="119" t="s">
        <v>816</v>
      </c>
      <c r="C83" s="119" t="s">
        <v>1407</v>
      </c>
      <c r="D83" s="119" t="s">
        <v>1212</v>
      </c>
      <c r="E83" s="119" t="s">
        <v>733</v>
      </c>
      <c r="F83" s="119" t="s">
        <v>741</v>
      </c>
      <c r="G83" s="119" t="s">
        <v>817</v>
      </c>
      <c r="H83" s="119" t="s">
        <v>818</v>
      </c>
      <c r="I83" s="119" t="s">
        <v>1408</v>
      </c>
      <c r="J83" s="119" t="s">
        <v>1409</v>
      </c>
      <c r="K83" s="119" t="s">
        <v>1410</v>
      </c>
    </row>
    <row r="84" spans="1:11" x14ac:dyDescent="0.25">
      <c r="A84" s="119" t="s">
        <v>1667</v>
      </c>
      <c r="B84" s="119" t="s">
        <v>974</v>
      </c>
      <c r="C84" s="119" t="s">
        <v>1668</v>
      </c>
      <c r="D84" s="119" t="s">
        <v>1212</v>
      </c>
      <c r="E84" s="119" t="s">
        <v>733</v>
      </c>
      <c r="F84" s="119" t="s">
        <v>741</v>
      </c>
      <c r="G84" s="119" t="s">
        <v>975</v>
      </c>
      <c r="H84" s="119" t="s">
        <v>976</v>
      </c>
      <c r="I84" s="119" t="s">
        <v>1669</v>
      </c>
      <c r="J84" s="119" t="s">
        <v>1670</v>
      </c>
      <c r="K84" s="119" t="s">
        <v>1671</v>
      </c>
    </row>
    <row r="85" spans="1:11" x14ac:dyDescent="0.25">
      <c r="A85" s="119" t="s">
        <v>1777</v>
      </c>
      <c r="B85" s="119" t="s">
        <v>906</v>
      </c>
      <c r="C85" s="119" t="s">
        <v>1778</v>
      </c>
      <c r="D85" s="119" t="s">
        <v>1212</v>
      </c>
      <c r="E85" s="119" t="s">
        <v>733</v>
      </c>
      <c r="F85" s="119" t="s">
        <v>741</v>
      </c>
      <c r="G85" s="119" t="s">
        <v>907</v>
      </c>
      <c r="H85" s="119" t="s">
        <v>908</v>
      </c>
      <c r="I85" s="119" t="s">
        <v>1779</v>
      </c>
      <c r="J85" s="119" t="s">
        <v>1780</v>
      </c>
      <c r="K85" s="119" t="s">
        <v>1781</v>
      </c>
    </row>
    <row r="86" spans="1:11" x14ac:dyDescent="0.25">
      <c r="A86" s="119" t="s">
        <v>1401</v>
      </c>
      <c r="B86" s="119" t="s">
        <v>813</v>
      </c>
      <c r="C86" s="119" t="s">
        <v>1402</v>
      </c>
      <c r="D86" s="119" t="s">
        <v>1212</v>
      </c>
      <c r="E86" s="119" t="s">
        <v>733</v>
      </c>
      <c r="F86" s="119" t="s">
        <v>741</v>
      </c>
      <c r="G86" s="119" t="s">
        <v>814</v>
      </c>
      <c r="H86" s="119" t="s">
        <v>815</v>
      </c>
      <c r="I86" s="119" t="s">
        <v>1403</v>
      </c>
      <c r="J86" s="119" t="s">
        <v>1404</v>
      </c>
      <c r="K86" s="119" t="s">
        <v>1405</v>
      </c>
    </row>
    <row r="87" spans="1:11" x14ac:dyDescent="0.25">
      <c r="A87" s="119" t="s">
        <v>1534</v>
      </c>
      <c r="B87" s="119" t="s">
        <v>894</v>
      </c>
      <c r="C87" s="119" t="s">
        <v>1535</v>
      </c>
      <c r="D87" s="119" t="s">
        <v>1212</v>
      </c>
      <c r="E87" s="119" t="s">
        <v>733</v>
      </c>
      <c r="F87" s="119" t="s">
        <v>741</v>
      </c>
      <c r="G87" s="119" t="s">
        <v>895</v>
      </c>
      <c r="H87" s="119" t="s">
        <v>896</v>
      </c>
      <c r="I87" s="119" t="s">
        <v>1536</v>
      </c>
      <c r="J87" s="119" t="s">
        <v>1537</v>
      </c>
      <c r="K87" s="119" t="s">
        <v>1538</v>
      </c>
    </row>
    <row r="88" spans="1:11" x14ac:dyDescent="0.25">
      <c r="A88" s="119" t="s">
        <v>1762</v>
      </c>
      <c r="B88" s="119" t="s">
        <v>1025</v>
      </c>
      <c r="C88" s="119" t="s">
        <v>1763</v>
      </c>
      <c r="D88" s="119" t="s">
        <v>1212</v>
      </c>
      <c r="E88" s="119" t="s">
        <v>733</v>
      </c>
      <c r="F88" s="119" t="s">
        <v>741</v>
      </c>
      <c r="G88" s="119" t="s">
        <v>1026</v>
      </c>
      <c r="H88" s="119" t="s">
        <v>1027</v>
      </c>
      <c r="I88" s="119" t="s">
        <v>1764</v>
      </c>
      <c r="J88" s="119" t="s">
        <v>1765</v>
      </c>
      <c r="K88" s="119" t="s">
        <v>1766</v>
      </c>
    </row>
    <row r="89" spans="1:11" x14ac:dyDescent="0.25">
      <c r="A89" s="119" t="s">
        <v>1484</v>
      </c>
      <c r="B89" s="119" t="s">
        <v>995</v>
      </c>
      <c r="C89" s="119" t="s">
        <v>1485</v>
      </c>
      <c r="D89" s="119" t="s">
        <v>1212</v>
      </c>
      <c r="E89" s="119" t="s">
        <v>733</v>
      </c>
      <c r="F89" s="119" t="s">
        <v>741</v>
      </c>
      <c r="G89" s="119" t="s">
        <v>996</v>
      </c>
      <c r="H89" s="119" t="s">
        <v>997</v>
      </c>
      <c r="I89" s="119" t="s">
        <v>1486</v>
      </c>
      <c r="J89" s="119" t="s">
        <v>1487</v>
      </c>
      <c r="K89" s="119" t="s">
        <v>1488</v>
      </c>
    </row>
    <row r="90" spans="1:11" x14ac:dyDescent="0.25">
      <c r="A90" s="119" t="s">
        <v>1331</v>
      </c>
      <c r="B90" s="119" t="s">
        <v>1058</v>
      </c>
      <c r="C90" s="119" t="s">
        <v>1332</v>
      </c>
      <c r="D90" s="119" t="s">
        <v>1212</v>
      </c>
      <c r="E90" s="119" t="s">
        <v>733</v>
      </c>
      <c r="F90" s="119" t="s">
        <v>741</v>
      </c>
      <c r="G90" s="119" t="s">
        <v>1059</v>
      </c>
      <c r="H90" s="119" t="s">
        <v>1060</v>
      </c>
      <c r="I90" s="119" t="s">
        <v>1333</v>
      </c>
      <c r="J90" s="119" t="s">
        <v>1334</v>
      </c>
      <c r="K90" s="119" t="s">
        <v>1335</v>
      </c>
    </row>
    <row r="91" spans="1:11" x14ac:dyDescent="0.25">
      <c r="A91" s="119" t="s">
        <v>1817</v>
      </c>
      <c r="B91" s="119" t="s">
        <v>929</v>
      </c>
      <c r="C91" s="119" t="s">
        <v>1818</v>
      </c>
      <c r="D91" s="119" t="s">
        <v>1212</v>
      </c>
      <c r="E91" s="119" t="s">
        <v>733</v>
      </c>
      <c r="F91" s="119" t="s">
        <v>741</v>
      </c>
      <c r="G91" s="119" t="s">
        <v>930</v>
      </c>
      <c r="H91" s="119" t="s">
        <v>931</v>
      </c>
      <c r="I91" s="119" t="s">
        <v>1819</v>
      </c>
      <c r="J91" s="119" t="s">
        <v>1820</v>
      </c>
      <c r="K91" s="119" t="s">
        <v>1821</v>
      </c>
    </row>
    <row r="92" spans="1:11" x14ac:dyDescent="0.25">
      <c r="A92" s="119" t="s">
        <v>1842</v>
      </c>
      <c r="B92" s="119" t="s">
        <v>1073</v>
      </c>
      <c r="C92" s="119" t="s">
        <v>1843</v>
      </c>
      <c r="D92" s="119" t="s">
        <v>1212</v>
      </c>
      <c r="E92" s="119" t="s">
        <v>733</v>
      </c>
      <c r="F92" s="119" t="s">
        <v>741</v>
      </c>
      <c r="G92" s="119" t="s">
        <v>1074</v>
      </c>
      <c r="H92" s="119" t="s">
        <v>1075</v>
      </c>
      <c r="I92" s="119" t="s">
        <v>1844</v>
      </c>
      <c r="J92" s="119" t="s">
        <v>1845</v>
      </c>
      <c r="K92" s="119" t="s">
        <v>1846</v>
      </c>
    </row>
    <row r="93" spans="1:11" x14ac:dyDescent="0.25">
      <c r="A93" s="119" t="s">
        <v>1657</v>
      </c>
      <c r="B93" s="119" t="s">
        <v>968</v>
      </c>
      <c r="C93" s="119" t="s">
        <v>1658</v>
      </c>
      <c r="D93" s="119" t="s">
        <v>1212</v>
      </c>
      <c r="E93" s="119" t="s">
        <v>733</v>
      </c>
      <c r="F93" s="119" t="s">
        <v>741</v>
      </c>
      <c r="G93" s="119" t="s">
        <v>969</v>
      </c>
      <c r="H93" s="119" t="s">
        <v>970</v>
      </c>
      <c r="I93" s="119" t="s">
        <v>1659</v>
      </c>
      <c r="J93" s="119" t="s">
        <v>1660</v>
      </c>
      <c r="K93" s="119" t="s">
        <v>1661</v>
      </c>
    </row>
    <row r="94" spans="1:11" x14ac:dyDescent="0.25">
      <c r="A94" s="119" t="s">
        <v>1912</v>
      </c>
      <c r="B94" s="119" t="s">
        <v>852</v>
      </c>
      <c r="C94" s="119" t="s">
        <v>1913</v>
      </c>
      <c r="D94" s="119" t="s">
        <v>1212</v>
      </c>
      <c r="E94" s="119" t="s">
        <v>733</v>
      </c>
      <c r="F94" s="119" t="s">
        <v>741</v>
      </c>
      <c r="G94" s="119" t="s">
        <v>853</v>
      </c>
      <c r="H94" s="119" t="s">
        <v>854</v>
      </c>
      <c r="I94" s="119" t="s">
        <v>1914</v>
      </c>
      <c r="J94" s="119" t="s">
        <v>1915</v>
      </c>
      <c r="K94" s="119" t="s">
        <v>1916</v>
      </c>
    </row>
    <row r="95" spans="1:11" x14ac:dyDescent="0.25">
      <c r="A95" s="119" t="s">
        <v>1474</v>
      </c>
      <c r="B95" s="119" t="s">
        <v>1145</v>
      </c>
      <c r="C95" s="119" t="s">
        <v>1475</v>
      </c>
      <c r="D95" s="119" t="s">
        <v>1212</v>
      </c>
      <c r="E95" s="119" t="s">
        <v>733</v>
      </c>
      <c r="F95" s="119" t="s">
        <v>741</v>
      </c>
      <c r="G95" s="119" t="s">
        <v>1146</v>
      </c>
      <c r="H95" s="119" t="s">
        <v>1147</v>
      </c>
      <c r="I95" s="119" t="s">
        <v>1476</v>
      </c>
      <c r="J95" s="119" t="s">
        <v>1477</v>
      </c>
      <c r="K95" s="119" t="s">
        <v>1478</v>
      </c>
    </row>
    <row r="96" spans="1:11" x14ac:dyDescent="0.25">
      <c r="A96" s="119" t="s">
        <v>1494</v>
      </c>
      <c r="B96" s="119" t="s">
        <v>1130</v>
      </c>
      <c r="C96" s="119" t="s">
        <v>1495</v>
      </c>
      <c r="D96" s="119" t="s">
        <v>1212</v>
      </c>
      <c r="E96" s="119" t="s">
        <v>733</v>
      </c>
      <c r="F96" s="119" t="s">
        <v>741</v>
      </c>
      <c r="G96" s="119" t="s">
        <v>1131</v>
      </c>
      <c r="H96" s="119" t="s">
        <v>1132</v>
      </c>
      <c r="I96" s="119" t="s">
        <v>1496</v>
      </c>
      <c r="J96" s="119" t="s">
        <v>1497</v>
      </c>
      <c r="K96" s="119" t="s">
        <v>1498</v>
      </c>
    </row>
    <row r="97" spans="1:11" x14ac:dyDescent="0.25">
      <c r="A97" s="119" t="s">
        <v>1637</v>
      </c>
      <c r="B97" s="119" t="s">
        <v>873</v>
      </c>
      <c r="C97" s="119" t="s">
        <v>1638</v>
      </c>
      <c r="D97" s="119" t="s">
        <v>1212</v>
      </c>
      <c r="E97" s="119" t="s">
        <v>733</v>
      </c>
      <c r="F97" s="119" t="s">
        <v>741</v>
      </c>
      <c r="G97" s="119" t="s">
        <v>874</v>
      </c>
      <c r="H97" s="119" t="s">
        <v>875</v>
      </c>
      <c r="I97" s="119" t="s">
        <v>1639</v>
      </c>
      <c r="J97" s="119" t="s">
        <v>1640</v>
      </c>
      <c r="K97" s="119" t="s">
        <v>1641</v>
      </c>
    </row>
    <row r="98" spans="1:11" x14ac:dyDescent="0.25">
      <c r="A98" s="119" t="s">
        <v>1454</v>
      </c>
      <c r="B98" s="119" t="s">
        <v>1160</v>
      </c>
      <c r="C98" s="119" t="s">
        <v>1455</v>
      </c>
      <c r="D98" s="119" t="s">
        <v>1212</v>
      </c>
      <c r="E98" s="119" t="s">
        <v>733</v>
      </c>
      <c r="F98" s="119" t="s">
        <v>741</v>
      </c>
      <c r="G98" s="119" t="s">
        <v>1161</v>
      </c>
      <c r="H98" s="119" t="s">
        <v>1162</v>
      </c>
      <c r="I98" s="119" t="s">
        <v>1456</v>
      </c>
      <c r="J98" s="119" t="s">
        <v>1457</v>
      </c>
      <c r="K98" s="119" t="s">
        <v>1458</v>
      </c>
    </row>
    <row r="99" spans="1:11" x14ac:dyDescent="0.25">
      <c r="A99" s="119" t="s">
        <v>1942</v>
      </c>
      <c r="B99" s="119" t="s">
        <v>1031</v>
      </c>
      <c r="C99" s="119" t="s">
        <v>1943</v>
      </c>
      <c r="D99" s="119" t="s">
        <v>1212</v>
      </c>
      <c r="E99" s="119" t="s">
        <v>733</v>
      </c>
      <c r="F99" s="119" t="s">
        <v>741</v>
      </c>
      <c r="G99" s="119" t="s">
        <v>1032</v>
      </c>
      <c r="H99" s="119" t="s">
        <v>1033</v>
      </c>
      <c r="I99" s="119" t="s">
        <v>1944</v>
      </c>
      <c r="J99" s="119" t="s">
        <v>1945</v>
      </c>
      <c r="K99" s="119" t="s">
        <v>1946</v>
      </c>
    </row>
    <row r="100" spans="1:11" x14ac:dyDescent="0.25">
      <c r="A100" s="119" t="s">
        <v>1827</v>
      </c>
      <c r="B100" s="119" t="s">
        <v>935</v>
      </c>
      <c r="C100" s="119" t="s">
        <v>1828</v>
      </c>
      <c r="D100" s="119" t="s">
        <v>1212</v>
      </c>
      <c r="E100" s="119" t="s">
        <v>733</v>
      </c>
      <c r="F100" s="119" t="s">
        <v>741</v>
      </c>
      <c r="G100" s="119" t="s">
        <v>936</v>
      </c>
      <c r="H100" s="119" t="s">
        <v>937</v>
      </c>
      <c r="I100" s="119" t="s">
        <v>1829</v>
      </c>
      <c r="J100" s="119" t="s">
        <v>1830</v>
      </c>
      <c r="K100" s="119" t="s">
        <v>1831</v>
      </c>
    </row>
    <row r="101" spans="1:11" x14ac:dyDescent="0.25">
      <c r="A101" s="119" t="s">
        <v>1697</v>
      </c>
      <c r="B101" s="119" t="s">
        <v>1139</v>
      </c>
      <c r="C101" s="119" t="s">
        <v>1698</v>
      </c>
      <c r="D101" s="119" t="s">
        <v>1212</v>
      </c>
      <c r="E101" s="119" t="s">
        <v>733</v>
      </c>
      <c r="F101" s="119" t="s">
        <v>741</v>
      </c>
      <c r="G101" s="119" t="s">
        <v>1140</v>
      </c>
      <c r="H101" s="119" t="s">
        <v>1141</v>
      </c>
      <c r="I101" s="119" t="s">
        <v>1699</v>
      </c>
      <c r="J101" s="119" t="s">
        <v>1700</v>
      </c>
      <c r="K101" s="119" t="s">
        <v>1701</v>
      </c>
    </row>
    <row r="102" spans="1:11" x14ac:dyDescent="0.25">
      <c r="A102" s="119" t="s">
        <v>1932</v>
      </c>
      <c r="B102" s="119" t="s">
        <v>983</v>
      </c>
      <c r="C102" s="119" t="s">
        <v>1933</v>
      </c>
      <c r="D102" s="119" t="s">
        <v>1212</v>
      </c>
      <c r="E102" s="119" t="s">
        <v>733</v>
      </c>
      <c r="F102" s="119" t="s">
        <v>741</v>
      </c>
      <c r="G102" s="119" t="s">
        <v>984</v>
      </c>
      <c r="H102" s="119" t="s">
        <v>985</v>
      </c>
      <c r="I102" s="119" t="s">
        <v>1934</v>
      </c>
      <c r="J102" s="119" t="s">
        <v>1935</v>
      </c>
      <c r="K102" s="119" t="s">
        <v>1936</v>
      </c>
    </row>
    <row r="103" spans="1:11" x14ac:dyDescent="0.25">
      <c r="A103" s="119" t="s">
        <v>1416</v>
      </c>
      <c r="B103" s="119" t="s">
        <v>900</v>
      </c>
      <c r="C103" s="119" t="s">
        <v>1417</v>
      </c>
      <c r="D103" s="119" t="s">
        <v>1212</v>
      </c>
      <c r="E103" s="119" t="s">
        <v>733</v>
      </c>
      <c r="F103" s="119" t="s">
        <v>741</v>
      </c>
      <c r="G103" s="119" t="s">
        <v>901</v>
      </c>
      <c r="H103" s="119" t="s">
        <v>902</v>
      </c>
      <c r="I103" s="119" t="s">
        <v>1418</v>
      </c>
      <c r="J103" s="119" t="s">
        <v>1419</v>
      </c>
      <c r="K103" s="119" t="s">
        <v>1420</v>
      </c>
    </row>
    <row r="104" spans="1:11" x14ac:dyDescent="0.25">
      <c r="A104" s="119" t="s">
        <v>1727</v>
      </c>
      <c r="B104" s="119" t="s">
        <v>765</v>
      </c>
      <c r="C104" s="119" t="s">
        <v>1728</v>
      </c>
      <c r="D104" s="119" t="s">
        <v>1212</v>
      </c>
      <c r="E104" s="119" t="s">
        <v>733</v>
      </c>
      <c r="F104" s="119" t="s">
        <v>741</v>
      </c>
      <c r="G104" s="119" t="s">
        <v>766</v>
      </c>
      <c r="H104" s="119" t="s">
        <v>767</v>
      </c>
      <c r="I104" s="119" t="s">
        <v>1729</v>
      </c>
      <c r="J104" s="119" t="s">
        <v>1730</v>
      </c>
      <c r="K104" s="119" t="s">
        <v>1731</v>
      </c>
    </row>
    <row r="105" spans="1:11" x14ac:dyDescent="0.25">
      <c r="A105" s="119" t="s">
        <v>1732</v>
      </c>
      <c r="B105" s="119" t="s">
        <v>1136</v>
      </c>
      <c r="C105" s="119" t="s">
        <v>1733</v>
      </c>
      <c r="D105" s="119" t="s">
        <v>1212</v>
      </c>
      <c r="E105" s="119" t="s">
        <v>733</v>
      </c>
      <c r="F105" s="119" t="s">
        <v>741</v>
      </c>
      <c r="G105" s="119" t="s">
        <v>1137</v>
      </c>
      <c r="H105" s="119" t="s">
        <v>1138</v>
      </c>
      <c r="I105" s="119" t="s">
        <v>1734</v>
      </c>
      <c r="J105" s="119" t="s">
        <v>1735</v>
      </c>
      <c r="K105" s="119" t="s">
        <v>1736</v>
      </c>
    </row>
    <row r="106" spans="1:11" x14ac:dyDescent="0.25">
      <c r="A106" s="119" t="s">
        <v>1602</v>
      </c>
      <c r="B106" s="119" t="s">
        <v>804</v>
      </c>
      <c r="C106" s="119" t="s">
        <v>1603</v>
      </c>
      <c r="D106" s="119" t="s">
        <v>1212</v>
      </c>
      <c r="E106" s="119" t="s">
        <v>733</v>
      </c>
      <c r="F106" s="119" t="s">
        <v>741</v>
      </c>
      <c r="G106" s="119" t="s">
        <v>805</v>
      </c>
      <c r="H106" s="119" t="s">
        <v>806</v>
      </c>
      <c r="I106" s="119" t="s">
        <v>1604</v>
      </c>
      <c r="J106" s="119" t="s">
        <v>1605</v>
      </c>
      <c r="K106" s="119" t="s">
        <v>1606</v>
      </c>
    </row>
    <row r="107" spans="1:11" x14ac:dyDescent="0.25">
      <c r="A107" s="119" t="s">
        <v>1499</v>
      </c>
      <c r="B107" s="119" t="s">
        <v>1055</v>
      </c>
      <c r="C107" s="119" t="s">
        <v>1500</v>
      </c>
      <c r="D107" s="119" t="s">
        <v>1212</v>
      </c>
      <c r="E107" s="119" t="s">
        <v>733</v>
      </c>
      <c r="F107" s="119" t="s">
        <v>741</v>
      </c>
      <c r="G107" s="119" t="s">
        <v>1056</v>
      </c>
      <c r="H107" s="119" t="s">
        <v>1057</v>
      </c>
      <c r="I107" s="119" t="s">
        <v>1501</v>
      </c>
      <c r="J107" s="119" t="s">
        <v>1502</v>
      </c>
      <c r="K107" s="119" t="s">
        <v>1503</v>
      </c>
    </row>
    <row r="108" spans="1:11" x14ac:dyDescent="0.25">
      <c r="A108" s="119" t="s">
        <v>1504</v>
      </c>
      <c r="B108" s="119" t="s">
        <v>1007</v>
      </c>
      <c r="C108" s="119" t="s">
        <v>1505</v>
      </c>
      <c r="D108" s="119" t="s">
        <v>1212</v>
      </c>
      <c r="E108" s="119" t="s">
        <v>733</v>
      </c>
      <c r="F108" s="119" t="s">
        <v>741</v>
      </c>
      <c r="G108" s="119" t="s">
        <v>1008</v>
      </c>
      <c r="H108" s="119" t="s">
        <v>1009</v>
      </c>
      <c r="I108" s="119" t="s">
        <v>1506</v>
      </c>
      <c r="J108" s="119" t="s">
        <v>1507</v>
      </c>
      <c r="K108" s="119" t="s">
        <v>1508</v>
      </c>
    </row>
    <row r="109" spans="1:11" x14ac:dyDescent="0.25">
      <c r="A109" s="119" t="s">
        <v>1469</v>
      </c>
      <c r="B109" s="119" t="s">
        <v>1013</v>
      </c>
      <c r="C109" s="119" t="s">
        <v>1470</v>
      </c>
      <c r="D109" s="119" t="s">
        <v>1212</v>
      </c>
      <c r="E109" s="119" t="s">
        <v>733</v>
      </c>
      <c r="F109" s="119" t="s">
        <v>741</v>
      </c>
      <c r="G109" s="119" t="s">
        <v>1014</v>
      </c>
      <c r="H109" s="119" t="s">
        <v>1015</v>
      </c>
      <c r="I109" s="119" t="s">
        <v>1471</v>
      </c>
      <c r="J109" s="119" t="s">
        <v>1472</v>
      </c>
      <c r="K109" s="119" t="s">
        <v>1473</v>
      </c>
    </row>
    <row r="110" spans="1:11" x14ac:dyDescent="0.25">
      <c r="A110" s="119" t="s">
        <v>1464</v>
      </c>
      <c r="B110" s="119" t="s">
        <v>1034</v>
      </c>
      <c r="C110" s="119" t="s">
        <v>1465</v>
      </c>
      <c r="D110" s="119" t="s">
        <v>1212</v>
      </c>
      <c r="E110" s="119" t="s">
        <v>733</v>
      </c>
      <c r="F110" s="119" t="s">
        <v>741</v>
      </c>
      <c r="G110" s="119" t="s">
        <v>1035</v>
      </c>
      <c r="H110" s="119" t="s">
        <v>1036</v>
      </c>
      <c r="I110" s="119" t="s">
        <v>1466</v>
      </c>
      <c r="J110" s="119" t="s">
        <v>1467</v>
      </c>
      <c r="K110" s="119" t="s">
        <v>1468</v>
      </c>
    </row>
    <row r="111" spans="1:11" x14ac:dyDescent="0.25">
      <c r="A111" s="119" t="s">
        <v>1612</v>
      </c>
      <c r="B111" s="119" t="s">
        <v>941</v>
      </c>
      <c r="C111" s="119" t="s">
        <v>1613</v>
      </c>
      <c r="D111" s="119" t="s">
        <v>1212</v>
      </c>
      <c r="E111" s="119" t="s">
        <v>733</v>
      </c>
      <c r="F111" s="119" t="s">
        <v>741</v>
      </c>
      <c r="G111" s="119" t="s">
        <v>942</v>
      </c>
      <c r="H111" s="119" t="s">
        <v>943</v>
      </c>
      <c r="I111" s="119" t="s">
        <v>1614</v>
      </c>
      <c r="J111" s="119" t="s">
        <v>1615</v>
      </c>
      <c r="K111" s="119" t="s">
        <v>1616</v>
      </c>
    </row>
    <row r="112" spans="1:11" x14ac:dyDescent="0.25">
      <c r="A112" s="119" t="s">
        <v>1767</v>
      </c>
      <c r="B112" s="119" t="s">
        <v>926</v>
      </c>
      <c r="C112" s="119" t="s">
        <v>1768</v>
      </c>
      <c r="D112" s="119" t="s">
        <v>1212</v>
      </c>
      <c r="E112" s="119" t="s">
        <v>733</v>
      </c>
      <c r="F112" s="119" t="s">
        <v>741</v>
      </c>
      <c r="G112" s="119" t="s">
        <v>927</v>
      </c>
      <c r="H112" s="119" t="s">
        <v>928</v>
      </c>
      <c r="I112" s="119" t="s">
        <v>1769</v>
      </c>
      <c r="J112" s="119" t="s">
        <v>1770</v>
      </c>
      <c r="K112" s="119" t="s">
        <v>1771</v>
      </c>
    </row>
    <row r="113" spans="1:11" x14ac:dyDescent="0.25">
      <c r="A113" s="119" t="s">
        <v>1479</v>
      </c>
      <c r="B113" s="119" t="s">
        <v>861</v>
      </c>
      <c r="C113" s="119" t="s">
        <v>1480</v>
      </c>
      <c r="D113" s="119" t="s">
        <v>1212</v>
      </c>
      <c r="E113" s="119" t="s">
        <v>733</v>
      </c>
      <c r="F113" s="119" t="s">
        <v>741</v>
      </c>
      <c r="G113" s="119" t="s">
        <v>862</v>
      </c>
      <c r="H113" s="119" t="s">
        <v>863</v>
      </c>
      <c r="I113" s="119" t="s">
        <v>1481</v>
      </c>
      <c r="J113" s="119" t="s">
        <v>1482</v>
      </c>
      <c r="K113" s="119" t="s">
        <v>1483</v>
      </c>
    </row>
    <row r="114" spans="1:11" x14ac:dyDescent="0.25">
      <c r="A114" s="119" t="s">
        <v>1316</v>
      </c>
      <c r="B114" s="119" t="s">
        <v>1181</v>
      </c>
      <c r="C114" s="119" t="s">
        <v>1317</v>
      </c>
      <c r="D114" s="119" t="s">
        <v>1212</v>
      </c>
      <c r="E114" s="119" t="s">
        <v>733</v>
      </c>
      <c r="F114" s="119" t="s">
        <v>741</v>
      </c>
      <c r="G114" s="119" t="s">
        <v>1182</v>
      </c>
      <c r="H114" s="119" t="s">
        <v>1183</v>
      </c>
      <c r="I114" s="119" t="s">
        <v>1318</v>
      </c>
      <c r="J114" s="119" t="s">
        <v>1319</v>
      </c>
      <c r="K114" s="119" t="s">
        <v>1320</v>
      </c>
    </row>
    <row r="115" spans="1:11" x14ac:dyDescent="0.25">
      <c r="A115" s="119" t="s">
        <v>1882</v>
      </c>
      <c r="B115" s="119" t="s">
        <v>1100</v>
      </c>
      <c r="C115" s="119" t="s">
        <v>1883</v>
      </c>
      <c r="D115" s="119" t="s">
        <v>1212</v>
      </c>
      <c r="E115" s="119" t="s">
        <v>733</v>
      </c>
      <c r="F115" s="119" t="s">
        <v>741</v>
      </c>
      <c r="G115" s="119" t="s">
        <v>1101</v>
      </c>
      <c r="H115" s="119" t="s">
        <v>1102</v>
      </c>
      <c r="I115" s="119" t="s">
        <v>1884</v>
      </c>
      <c r="J115" s="119" t="s">
        <v>1885</v>
      </c>
      <c r="K115" s="119" t="s">
        <v>1886</v>
      </c>
    </row>
    <row r="116" spans="1:11" x14ac:dyDescent="0.25">
      <c r="A116" s="119" t="s">
        <v>1276</v>
      </c>
      <c r="B116" s="119" t="s">
        <v>1001</v>
      </c>
      <c r="C116" s="119" t="s">
        <v>1277</v>
      </c>
      <c r="D116" s="119" t="s">
        <v>1212</v>
      </c>
      <c r="E116" s="119" t="s">
        <v>733</v>
      </c>
      <c r="F116" s="119" t="s">
        <v>741</v>
      </c>
      <c r="G116" s="119" t="s">
        <v>1002</v>
      </c>
      <c r="H116" s="119" t="s">
        <v>1003</v>
      </c>
      <c r="I116" s="119" t="s">
        <v>1278</v>
      </c>
      <c r="J116" s="119" t="s">
        <v>1279</v>
      </c>
      <c r="K116" s="119" t="s">
        <v>1280</v>
      </c>
    </row>
    <row r="117" spans="1:11" x14ac:dyDescent="0.25">
      <c r="A117" s="119" t="s">
        <v>1281</v>
      </c>
      <c r="B117" s="119" t="s">
        <v>795</v>
      </c>
      <c r="C117" s="119" t="s">
        <v>1282</v>
      </c>
      <c r="D117" s="119" t="s">
        <v>1212</v>
      </c>
      <c r="E117" s="119" t="s">
        <v>733</v>
      </c>
      <c r="F117" s="119" t="s">
        <v>741</v>
      </c>
      <c r="G117" s="119" t="s">
        <v>796</v>
      </c>
      <c r="H117" s="119" t="s">
        <v>797</v>
      </c>
      <c r="I117" s="119" t="s">
        <v>1283</v>
      </c>
      <c r="J117" s="119" t="s">
        <v>1284</v>
      </c>
      <c r="K117" s="119" t="s">
        <v>1285</v>
      </c>
    </row>
    <row r="118" spans="1:11" x14ac:dyDescent="0.25">
      <c r="A118" s="119" t="s">
        <v>1577</v>
      </c>
      <c r="B118" s="119" t="s">
        <v>920</v>
      </c>
      <c r="C118" s="119" t="s">
        <v>1578</v>
      </c>
      <c r="D118" s="119" t="s">
        <v>1212</v>
      </c>
      <c r="E118" s="119" t="s">
        <v>733</v>
      </c>
      <c r="F118" s="119" t="s">
        <v>741</v>
      </c>
      <c r="G118" s="119" t="s">
        <v>921</v>
      </c>
      <c r="H118" s="119" t="s">
        <v>922</v>
      </c>
      <c r="I118" s="119" t="s">
        <v>1579</v>
      </c>
      <c r="J118" s="119" t="s">
        <v>1580</v>
      </c>
      <c r="K118" s="119" t="s">
        <v>1581</v>
      </c>
    </row>
    <row r="119" spans="1:11" x14ac:dyDescent="0.25">
      <c r="A119" s="119" t="s">
        <v>1441</v>
      </c>
      <c r="B119" s="119" t="s">
        <v>837</v>
      </c>
      <c r="C119" s="119" t="s">
        <v>1442</v>
      </c>
      <c r="D119" s="119" t="s">
        <v>1212</v>
      </c>
      <c r="E119" s="119" t="s">
        <v>733</v>
      </c>
      <c r="F119" s="119" t="s">
        <v>741</v>
      </c>
      <c r="G119" s="119" t="s">
        <v>838</v>
      </c>
      <c r="H119" s="119" t="s">
        <v>839</v>
      </c>
      <c r="I119" s="119" t="s">
        <v>1443</v>
      </c>
      <c r="J119" s="119" t="s">
        <v>1444</v>
      </c>
      <c r="K119" s="119" t="s">
        <v>1445</v>
      </c>
    </row>
    <row r="120" spans="1:11" x14ac:dyDescent="0.25">
      <c r="A120" s="119" t="s">
        <v>1396</v>
      </c>
      <c r="B120" s="119" t="s">
        <v>810</v>
      </c>
      <c r="C120" s="119" t="s">
        <v>1397</v>
      </c>
      <c r="D120" s="119" t="s">
        <v>1212</v>
      </c>
      <c r="E120" s="119" t="s">
        <v>733</v>
      </c>
      <c r="F120" s="119" t="s">
        <v>741</v>
      </c>
      <c r="G120" s="119" t="s">
        <v>811</v>
      </c>
      <c r="H120" s="119" t="s">
        <v>812</v>
      </c>
      <c r="I120" s="119" t="s">
        <v>1398</v>
      </c>
      <c r="J120" s="119" t="s">
        <v>1399</v>
      </c>
      <c r="K120" s="119" t="s">
        <v>1400</v>
      </c>
    </row>
    <row r="121" spans="1:11" x14ac:dyDescent="0.25">
      <c r="A121" s="119" t="s">
        <v>1519</v>
      </c>
      <c r="B121" s="119" t="s">
        <v>1172</v>
      </c>
      <c r="C121" s="119" t="s">
        <v>1520</v>
      </c>
      <c r="D121" s="119" t="s">
        <v>1212</v>
      </c>
      <c r="E121" s="119" t="s">
        <v>733</v>
      </c>
      <c r="F121" s="119" t="s">
        <v>741</v>
      </c>
      <c r="G121" s="119" t="s">
        <v>1173</v>
      </c>
      <c r="H121" s="119" t="s">
        <v>1174</v>
      </c>
      <c r="I121" s="119" t="s">
        <v>1521</v>
      </c>
      <c r="J121" s="119" t="s">
        <v>1522</v>
      </c>
      <c r="K121" s="119" t="s">
        <v>1523</v>
      </c>
    </row>
    <row r="122" spans="1:11" x14ac:dyDescent="0.25">
      <c r="A122" s="119" t="s">
        <v>1707</v>
      </c>
      <c r="B122" s="119" t="s">
        <v>858</v>
      </c>
      <c r="C122" s="119" t="s">
        <v>1708</v>
      </c>
      <c r="D122" s="119" t="s">
        <v>1212</v>
      </c>
      <c r="E122" s="119" t="s">
        <v>733</v>
      </c>
      <c r="F122" s="119" t="s">
        <v>741</v>
      </c>
      <c r="G122" s="119" t="s">
        <v>859</v>
      </c>
      <c r="H122" s="119" t="s">
        <v>860</v>
      </c>
      <c r="I122" s="119" t="s">
        <v>1709</v>
      </c>
      <c r="J122" s="119" t="s">
        <v>1710</v>
      </c>
      <c r="K122" s="119" t="s">
        <v>1711</v>
      </c>
    </row>
    <row r="123" spans="1:11" x14ac:dyDescent="0.25">
      <c r="A123" s="119" t="s">
        <v>1662</v>
      </c>
      <c r="B123" s="119" t="s">
        <v>971</v>
      </c>
      <c r="C123" s="119" t="s">
        <v>1663</v>
      </c>
      <c r="D123" s="119" t="s">
        <v>1212</v>
      </c>
      <c r="E123" s="119" t="s">
        <v>733</v>
      </c>
      <c r="F123" s="119" t="s">
        <v>741</v>
      </c>
      <c r="G123" s="119" t="s">
        <v>972</v>
      </c>
      <c r="H123" s="119" t="s">
        <v>973</v>
      </c>
      <c r="I123" s="119" t="s">
        <v>1664</v>
      </c>
      <c r="J123" s="119" t="s">
        <v>1665</v>
      </c>
      <c r="K123" s="119" t="s">
        <v>1666</v>
      </c>
    </row>
    <row r="124" spans="1:11" x14ac:dyDescent="0.25">
      <c r="A124" s="119" t="s">
        <v>1574</v>
      </c>
      <c r="B124" s="119" t="s">
        <v>917</v>
      </c>
      <c r="C124" s="119" t="s">
        <v>1575</v>
      </c>
      <c r="D124" s="119" t="s">
        <v>1212</v>
      </c>
      <c r="E124" s="119" t="s">
        <v>733</v>
      </c>
      <c r="F124" s="119" t="s">
        <v>741</v>
      </c>
      <c r="G124" s="119" t="s">
        <v>918</v>
      </c>
      <c r="H124" s="119" t="s">
        <v>919</v>
      </c>
      <c r="I124" s="119" t="s">
        <v>1358</v>
      </c>
      <c r="J124" s="119" t="s">
        <v>1359</v>
      </c>
      <c r="K124" s="119" t="s">
        <v>1576</v>
      </c>
    </row>
    <row r="125" spans="1:11" x14ac:dyDescent="0.25">
      <c r="A125" s="119" t="s">
        <v>1902</v>
      </c>
      <c r="B125" s="119" t="s">
        <v>1085</v>
      </c>
      <c r="C125" s="119" t="s">
        <v>1903</v>
      </c>
      <c r="D125" s="119" t="s">
        <v>1212</v>
      </c>
      <c r="E125" s="119" t="s">
        <v>733</v>
      </c>
      <c r="F125" s="119" t="s">
        <v>741</v>
      </c>
      <c r="G125" s="119" t="s">
        <v>1086</v>
      </c>
      <c r="H125" s="119" t="s">
        <v>1087</v>
      </c>
      <c r="I125" s="119" t="s">
        <v>1904</v>
      </c>
      <c r="J125" s="119" t="s">
        <v>1905</v>
      </c>
      <c r="K125" s="119" t="s">
        <v>1906</v>
      </c>
    </row>
    <row r="126" spans="1:11" x14ac:dyDescent="0.25">
      <c r="A126" s="119" t="s">
        <v>1251</v>
      </c>
      <c r="B126" s="119" t="s">
        <v>962</v>
      </c>
      <c r="C126" s="119" t="s">
        <v>1252</v>
      </c>
      <c r="D126" s="119" t="s">
        <v>1212</v>
      </c>
      <c r="E126" s="119" t="s">
        <v>733</v>
      </c>
      <c r="F126" s="119" t="s">
        <v>741</v>
      </c>
      <c r="G126" s="119" t="s">
        <v>963</v>
      </c>
      <c r="H126" s="119" t="s">
        <v>964</v>
      </c>
      <c r="I126" s="119" t="s">
        <v>1253</v>
      </c>
      <c r="J126" s="119" t="s">
        <v>1254</v>
      </c>
      <c r="K126" s="119" t="s">
        <v>1255</v>
      </c>
    </row>
    <row r="127" spans="1:11" x14ac:dyDescent="0.25">
      <c r="A127" s="119" t="s">
        <v>1702</v>
      </c>
      <c r="B127" s="119" t="s">
        <v>831</v>
      </c>
      <c r="C127" s="119" t="s">
        <v>1703</v>
      </c>
      <c r="D127" s="119" t="s">
        <v>1212</v>
      </c>
      <c r="E127" s="119" t="s">
        <v>733</v>
      </c>
      <c r="F127" s="119" t="s">
        <v>741</v>
      </c>
      <c r="G127" s="119" t="s">
        <v>832</v>
      </c>
      <c r="H127" s="119" t="s">
        <v>833</v>
      </c>
      <c r="I127" s="119" t="s">
        <v>1704</v>
      </c>
      <c r="J127" s="119" t="s">
        <v>1705</v>
      </c>
      <c r="K127" s="119" t="s">
        <v>1706</v>
      </c>
    </row>
    <row r="128" spans="1:11" x14ac:dyDescent="0.25">
      <c r="A128" s="119" t="s">
        <v>1687</v>
      </c>
      <c r="B128" s="119" t="s">
        <v>956</v>
      </c>
      <c r="C128" s="119" t="s">
        <v>1688</v>
      </c>
      <c r="D128" s="119" t="s">
        <v>1212</v>
      </c>
      <c r="E128" s="119" t="s">
        <v>733</v>
      </c>
      <c r="F128" s="119" t="s">
        <v>741</v>
      </c>
      <c r="G128" s="119" t="s">
        <v>957</v>
      </c>
      <c r="H128" s="119" t="s">
        <v>958</v>
      </c>
      <c r="I128" s="119" t="s">
        <v>1689</v>
      </c>
      <c r="J128" s="119" t="s">
        <v>1690</v>
      </c>
      <c r="K128" s="119" t="s">
        <v>1691</v>
      </c>
    </row>
    <row r="129" spans="1:11" x14ac:dyDescent="0.25">
      <c r="A129" s="119" t="s">
        <v>1887</v>
      </c>
      <c r="B129" s="119" t="s">
        <v>1103</v>
      </c>
      <c r="C129" s="119" t="s">
        <v>1888</v>
      </c>
      <c r="D129" s="119" t="s">
        <v>1212</v>
      </c>
      <c r="E129" s="119" t="s">
        <v>733</v>
      </c>
      <c r="F129" s="119" t="s">
        <v>741</v>
      </c>
      <c r="G129" s="119" t="s">
        <v>1104</v>
      </c>
      <c r="H129" s="119" t="s">
        <v>1105</v>
      </c>
      <c r="I129" s="119" t="s">
        <v>1889</v>
      </c>
      <c r="J129" s="119" t="s">
        <v>1890</v>
      </c>
      <c r="K129" s="119" t="s">
        <v>1891</v>
      </c>
    </row>
    <row r="130" spans="1:11" x14ac:dyDescent="0.25">
      <c r="A130" s="119" t="s">
        <v>1421</v>
      </c>
      <c r="B130" s="119" t="s">
        <v>825</v>
      </c>
      <c r="C130" s="119" t="s">
        <v>1422</v>
      </c>
      <c r="D130" s="119" t="s">
        <v>1212</v>
      </c>
      <c r="E130" s="119" t="s">
        <v>733</v>
      </c>
      <c r="F130" s="119" t="s">
        <v>741</v>
      </c>
      <c r="G130" s="119" t="s">
        <v>826</v>
      </c>
      <c r="H130" s="119" t="s">
        <v>827</v>
      </c>
      <c r="I130" s="119" t="s">
        <v>1423</v>
      </c>
      <c r="J130" s="119" t="s">
        <v>1424</v>
      </c>
      <c r="K130" s="119" t="s">
        <v>1425</v>
      </c>
    </row>
    <row r="131" spans="1:11" x14ac:dyDescent="0.25">
      <c r="A131" s="119" t="s">
        <v>1927</v>
      </c>
      <c r="B131" s="119" t="s">
        <v>1121</v>
      </c>
      <c r="C131" s="119" t="s">
        <v>1928</v>
      </c>
      <c r="D131" s="119" t="s">
        <v>1212</v>
      </c>
      <c r="E131" s="119" t="s">
        <v>733</v>
      </c>
      <c r="F131" s="119" t="s">
        <v>741</v>
      </c>
      <c r="G131" s="119" t="s">
        <v>1122</v>
      </c>
      <c r="H131" s="119" t="s">
        <v>1123</v>
      </c>
      <c r="I131" s="119" t="s">
        <v>1929</v>
      </c>
      <c r="J131" s="119" t="s">
        <v>1930</v>
      </c>
      <c r="K131" s="119" t="s">
        <v>1931</v>
      </c>
    </row>
    <row r="132" spans="1:11" x14ac:dyDescent="0.25">
      <c r="A132" s="119" t="s">
        <v>1642</v>
      </c>
      <c r="B132" s="119" t="s">
        <v>828</v>
      </c>
      <c r="C132" s="119" t="s">
        <v>1643</v>
      </c>
      <c r="D132" s="119" t="s">
        <v>1212</v>
      </c>
      <c r="E132" s="119" t="s">
        <v>733</v>
      </c>
      <c r="F132" s="119" t="s">
        <v>741</v>
      </c>
      <c r="G132" s="119" t="s">
        <v>829</v>
      </c>
      <c r="H132" s="119" t="s">
        <v>830</v>
      </c>
      <c r="I132" s="119" t="s">
        <v>1644</v>
      </c>
      <c r="J132" s="119" t="s">
        <v>1645</v>
      </c>
      <c r="K132" s="119" t="s">
        <v>1646</v>
      </c>
    </row>
    <row r="133" spans="1:11" x14ac:dyDescent="0.25">
      <c r="A133" s="119" t="s">
        <v>1361</v>
      </c>
      <c r="B133" s="119" t="s">
        <v>786</v>
      </c>
      <c r="C133" s="119" t="s">
        <v>1362</v>
      </c>
      <c r="D133" s="119" t="s">
        <v>1212</v>
      </c>
      <c r="E133" s="119" t="s">
        <v>733</v>
      </c>
      <c r="F133" s="119" t="s">
        <v>741</v>
      </c>
      <c r="G133" s="119" t="s">
        <v>787</v>
      </c>
      <c r="H133" s="119" t="s">
        <v>788</v>
      </c>
      <c r="I133" s="119" t="s">
        <v>1363</v>
      </c>
      <c r="J133" s="119" t="s">
        <v>1364</v>
      </c>
      <c r="K133" s="119" t="s">
        <v>1365</v>
      </c>
    </row>
    <row r="134" spans="1:11" x14ac:dyDescent="0.25">
      <c r="A134" s="119" t="s">
        <v>1554</v>
      </c>
      <c r="B134" s="119" t="s">
        <v>986</v>
      </c>
      <c r="C134" s="119" t="s">
        <v>1555</v>
      </c>
      <c r="D134" s="119" t="s">
        <v>1212</v>
      </c>
      <c r="E134" s="119" t="s">
        <v>733</v>
      </c>
      <c r="F134" s="119" t="s">
        <v>741</v>
      </c>
      <c r="G134" s="119" t="s">
        <v>987</v>
      </c>
      <c r="H134" s="119" t="s">
        <v>988</v>
      </c>
      <c r="I134" s="119" t="s">
        <v>1556</v>
      </c>
      <c r="J134" s="119" t="s">
        <v>1557</v>
      </c>
      <c r="K134" s="119" t="s">
        <v>1558</v>
      </c>
    </row>
    <row r="135" spans="1:11" x14ac:dyDescent="0.25">
      <c r="A135" s="119" t="s">
        <v>1847</v>
      </c>
      <c r="B135" s="119" t="s">
        <v>1076</v>
      </c>
      <c r="C135" s="119" t="s">
        <v>1848</v>
      </c>
      <c r="D135" s="119" t="s">
        <v>1212</v>
      </c>
      <c r="E135" s="119" t="s">
        <v>733</v>
      </c>
      <c r="F135" s="119" t="s">
        <v>741</v>
      </c>
      <c r="G135" s="119" t="s">
        <v>1077</v>
      </c>
      <c r="H135" s="119" t="s">
        <v>1078</v>
      </c>
      <c r="I135" s="119" t="s">
        <v>1849</v>
      </c>
      <c r="J135" s="119" t="s">
        <v>1850</v>
      </c>
      <c r="K135" s="119" t="s">
        <v>1851</v>
      </c>
    </row>
    <row r="136" spans="1:11" x14ac:dyDescent="0.25">
      <c r="A136" s="119" t="s">
        <v>1210</v>
      </c>
      <c r="B136" s="119" t="s">
        <v>740</v>
      </c>
      <c r="C136" s="119" t="s">
        <v>1211</v>
      </c>
      <c r="D136" s="119" t="s">
        <v>1212</v>
      </c>
      <c r="E136" s="119" t="s">
        <v>733</v>
      </c>
      <c r="F136" s="119" t="s">
        <v>741</v>
      </c>
      <c r="G136" s="119" t="s">
        <v>742</v>
      </c>
      <c r="H136" s="119" t="s">
        <v>743</v>
      </c>
      <c r="I136" s="119" t="s">
        <v>1213</v>
      </c>
      <c r="J136" s="119" t="s">
        <v>1214</v>
      </c>
      <c r="K136" s="119" t="s">
        <v>1215</v>
      </c>
    </row>
    <row r="137" spans="1:11" x14ac:dyDescent="0.25">
      <c r="A137" s="119" t="s">
        <v>1386</v>
      </c>
      <c r="B137" s="119" t="s">
        <v>1094</v>
      </c>
      <c r="C137" s="119" t="s">
        <v>1387</v>
      </c>
      <c r="D137" s="119" t="s">
        <v>1212</v>
      </c>
      <c r="E137" s="119" t="s">
        <v>733</v>
      </c>
      <c r="F137" s="119" t="s">
        <v>741</v>
      </c>
      <c r="G137" s="119" t="s">
        <v>1095</v>
      </c>
      <c r="H137" s="119" t="s">
        <v>1096</v>
      </c>
      <c r="I137" s="119" t="s">
        <v>1388</v>
      </c>
      <c r="J137" s="119" t="s">
        <v>1389</v>
      </c>
      <c r="K137" s="119" t="s">
        <v>1390</v>
      </c>
    </row>
    <row r="138" spans="1:11" x14ac:dyDescent="0.25">
      <c r="A138" s="119" t="s">
        <v>1917</v>
      </c>
      <c r="B138" s="119" t="s">
        <v>1115</v>
      </c>
      <c r="C138" s="119" t="s">
        <v>1918</v>
      </c>
      <c r="D138" s="119" t="s">
        <v>1212</v>
      </c>
      <c r="E138" s="119" t="s">
        <v>733</v>
      </c>
      <c r="F138" s="119" t="s">
        <v>741</v>
      </c>
      <c r="G138" s="119" t="s">
        <v>1116</v>
      </c>
      <c r="H138" s="119" t="s">
        <v>1117</v>
      </c>
      <c r="I138" s="119" t="s">
        <v>1919</v>
      </c>
      <c r="J138" s="119" t="s">
        <v>1920</v>
      </c>
      <c r="K138" s="119" t="s">
        <v>1921</v>
      </c>
    </row>
    <row r="139" spans="1:11" x14ac:dyDescent="0.25">
      <c r="A139" s="119" t="s">
        <v>1539</v>
      </c>
      <c r="B139" s="119" t="s">
        <v>870</v>
      </c>
      <c r="C139" s="119" t="s">
        <v>1540</v>
      </c>
      <c r="D139" s="119" t="s">
        <v>1212</v>
      </c>
      <c r="E139" s="119" t="s">
        <v>733</v>
      </c>
      <c r="F139" s="119" t="s">
        <v>741</v>
      </c>
      <c r="G139" s="119" t="s">
        <v>871</v>
      </c>
      <c r="H139" s="119" t="s">
        <v>872</v>
      </c>
      <c r="I139" s="119" t="s">
        <v>1541</v>
      </c>
      <c r="J139" s="119" t="s">
        <v>1542</v>
      </c>
      <c r="K139" s="119" t="s">
        <v>1543</v>
      </c>
    </row>
    <row r="140" spans="1:11" x14ac:dyDescent="0.25">
      <c r="A140" s="119" t="s">
        <v>1426</v>
      </c>
      <c r="B140" s="119" t="s">
        <v>1112</v>
      </c>
      <c r="C140" s="119" t="s">
        <v>1427</v>
      </c>
      <c r="D140" s="119" t="s">
        <v>1212</v>
      </c>
      <c r="E140" s="119" t="s">
        <v>733</v>
      </c>
      <c r="F140" s="119" t="s">
        <v>741</v>
      </c>
      <c r="G140" s="119" t="s">
        <v>1113</v>
      </c>
      <c r="H140" s="119" t="s">
        <v>1114</v>
      </c>
      <c r="I140" s="119" t="s">
        <v>1428</v>
      </c>
      <c r="J140" s="119" t="s">
        <v>1429</v>
      </c>
      <c r="K140" s="119" t="s">
        <v>1430</v>
      </c>
    </row>
    <row r="141" spans="1:11" x14ac:dyDescent="0.25">
      <c r="A141" s="119" t="s">
        <v>1892</v>
      </c>
      <c r="B141" s="119" t="s">
        <v>1079</v>
      </c>
      <c r="C141" s="119" t="s">
        <v>1893</v>
      </c>
      <c r="D141" s="119" t="s">
        <v>1212</v>
      </c>
      <c r="E141" s="119" t="s">
        <v>733</v>
      </c>
      <c r="F141" s="119" t="s">
        <v>741</v>
      </c>
      <c r="G141" s="119" t="s">
        <v>1080</v>
      </c>
      <c r="H141" s="119" t="s">
        <v>1081</v>
      </c>
      <c r="I141" s="119" t="s">
        <v>1894</v>
      </c>
      <c r="J141" s="119" t="s">
        <v>1895</v>
      </c>
      <c r="K141" s="119" t="s">
        <v>1896</v>
      </c>
    </row>
    <row r="142" spans="1:11" x14ac:dyDescent="0.25">
      <c r="A142" s="119" t="s">
        <v>1622</v>
      </c>
      <c r="B142" s="119" t="s">
        <v>947</v>
      </c>
      <c r="C142" s="119" t="s">
        <v>1623</v>
      </c>
      <c r="D142" s="119" t="s">
        <v>1212</v>
      </c>
      <c r="E142" s="119" t="s">
        <v>733</v>
      </c>
      <c r="F142" s="119" t="s">
        <v>741</v>
      </c>
      <c r="G142" s="119" t="s">
        <v>948</v>
      </c>
      <c r="H142" s="119" t="s">
        <v>949</v>
      </c>
      <c r="I142" s="119" t="s">
        <v>1624</v>
      </c>
      <c r="J142" s="119" t="s">
        <v>1625</v>
      </c>
      <c r="K142" s="119" t="s">
        <v>1626</v>
      </c>
    </row>
    <row r="143" spans="1:11" x14ac:dyDescent="0.25">
      <c r="A143" s="119" t="s">
        <v>1376</v>
      </c>
      <c r="B143" s="119" t="s">
        <v>1088</v>
      </c>
      <c r="C143" s="119" t="s">
        <v>1377</v>
      </c>
      <c r="D143" s="119" t="s">
        <v>1212</v>
      </c>
      <c r="E143" s="119" t="s">
        <v>733</v>
      </c>
      <c r="F143" s="119" t="s">
        <v>741</v>
      </c>
      <c r="G143" s="119" t="s">
        <v>1089</v>
      </c>
      <c r="H143" s="119" t="s">
        <v>1090</v>
      </c>
      <c r="I143" s="119" t="s">
        <v>1378</v>
      </c>
      <c r="J143" s="119" t="s">
        <v>1379</v>
      </c>
      <c r="K143" s="119" t="s">
        <v>1380</v>
      </c>
    </row>
    <row r="144" spans="1:11" x14ac:dyDescent="0.25">
      <c r="A144" s="119" t="s">
        <v>1712</v>
      </c>
      <c r="B144" s="119" t="s">
        <v>992</v>
      </c>
      <c r="C144" s="119" t="s">
        <v>1713</v>
      </c>
      <c r="D144" s="119" t="s">
        <v>1212</v>
      </c>
      <c r="E144" s="119" t="s">
        <v>733</v>
      </c>
      <c r="F144" s="119" t="s">
        <v>741</v>
      </c>
      <c r="G144" s="119" t="s">
        <v>993</v>
      </c>
      <c r="H144" s="119" t="s">
        <v>994</v>
      </c>
      <c r="I144" s="119" t="s">
        <v>1714</v>
      </c>
      <c r="J144" s="119" t="s">
        <v>1715</v>
      </c>
      <c r="K144" s="119" t="s">
        <v>1716</v>
      </c>
    </row>
    <row r="145" spans="1:11" x14ac:dyDescent="0.25">
      <c r="A145" s="119" t="s">
        <v>1862</v>
      </c>
      <c r="B145" s="119" t="s">
        <v>959</v>
      </c>
      <c r="C145" s="119" t="s">
        <v>1863</v>
      </c>
      <c r="D145" s="119" t="s">
        <v>1212</v>
      </c>
      <c r="E145" s="119" t="s">
        <v>733</v>
      </c>
      <c r="F145" s="119" t="s">
        <v>741</v>
      </c>
      <c r="G145" s="119" t="s">
        <v>960</v>
      </c>
      <c r="H145" s="119" t="s">
        <v>961</v>
      </c>
      <c r="I145" s="119" t="s">
        <v>1864</v>
      </c>
      <c r="J145" s="119" t="s">
        <v>1865</v>
      </c>
      <c r="K145" s="119" t="s">
        <v>1866</v>
      </c>
    </row>
    <row r="146" spans="1:11" x14ac:dyDescent="0.25">
      <c r="A146" s="119" t="s">
        <v>1306</v>
      </c>
      <c r="B146" s="119" t="s">
        <v>1175</v>
      </c>
      <c r="C146" s="119" t="s">
        <v>1307</v>
      </c>
      <c r="D146" s="119" t="s">
        <v>1212</v>
      </c>
      <c r="E146" s="119" t="s">
        <v>733</v>
      </c>
      <c r="F146" s="119" t="s">
        <v>741</v>
      </c>
      <c r="G146" s="119" t="s">
        <v>1176</v>
      </c>
      <c r="H146" s="119" t="s">
        <v>1177</v>
      </c>
      <c r="I146" s="119" t="s">
        <v>1308</v>
      </c>
      <c r="J146" s="119" t="s">
        <v>1309</v>
      </c>
      <c r="K146" s="119" t="s">
        <v>1310</v>
      </c>
    </row>
    <row r="147" spans="1:11" x14ac:dyDescent="0.25">
      <c r="A147" s="119" t="s">
        <v>1489</v>
      </c>
      <c r="B147" s="119" t="s">
        <v>867</v>
      </c>
      <c r="C147" s="119" t="s">
        <v>1490</v>
      </c>
      <c r="D147" s="119" t="s">
        <v>1212</v>
      </c>
      <c r="E147" s="119" t="s">
        <v>733</v>
      </c>
      <c r="F147" s="119" t="s">
        <v>741</v>
      </c>
      <c r="G147" s="119" t="s">
        <v>868</v>
      </c>
      <c r="H147" s="119" t="s">
        <v>869</v>
      </c>
      <c r="I147" s="119" t="s">
        <v>1491</v>
      </c>
      <c r="J147" s="119" t="s">
        <v>1492</v>
      </c>
      <c r="K147" s="119" t="s">
        <v>1493</v>
      </c>
    </row>
    <row r="148" spans="1:11" x14ac:dyDescent="0.25">
      <c r="A148" s="119" t="s">
        <v>1592</v>
      </c>
      <c r="B148" s="119" t="s">
        <v>798</v>
      </c>
      <c r="C148" s="119" t="s">
        <v>1593</v>
      </c>
      <c r="D148" s="119" t="s">
        <v>1212</v>
      </c>
      <c r="E148" s="119" t="s">
        <v>733</v>
      </c>
      <c r="F148" s="119" t="s">
        <v>741</v>
      </c>
      <c r="G148" s="119" t="s">
        <v>799</v>
      </c>
      <c r="H148" s="119" t="s">
        <v>800</v>
      </c>
      <c r="I148" s="119" t="s">
        <v>1594</v>
      </c>
      <c r="J148" s="119" t="s">
        <v>1595</v>
      </c>
      <c r="K148" s="119" t="s">
        <v>1596</v>
      </c>
    </row>
    <row r="149" spans="1:11" x14ac:dyDescent="0.25">
      <c r="A149" s="119" t="s">
        <v>1266</v>
      </c>
      <c r="B149" s="119" t="s">
        <v>864</v>
      </c>
      <c r="C149" s="119" t="s">
        <v>1267</v>
      </c>
      <c r="D149" s="119" t="s">
        <v>1212</v>
      </c>
      <c r="E149" s="119" t="s">
        <v>733</v>
      </c>
      <c r="F149" s="119" t="s">
        <v>741</v>
      </c>
      <c r="G149" s="119" t="s">
        <v>865</v>
      </c>
      <c r="H149" s="119" t="s">
        <v>866</v>
      </c>
      <c r="I149" s="119" t="s">
        <v>1268</v>
      </c>
      <c r="J149" s="119" t="s">
        <v>1269</v>
      </c>
      <c r="K149" s="119" t="s">
        <v>1270</v>
      </c>
    </row>
  </sheetData>
  <pageMargins left="0.7" right="0.7" top="0.78740157499999996" bottom="0.78740157499999996"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63FA5-00D6-41C7-98F7-ED6479A0A40B}">
  <sheetPr codeName="Tabelle21"/>
  <dimension ref="B1:N20"/>
  <sheetViews>
    <sheetView zoomScaleNormal="100" workbookViewId="0">
      <selection activeCell="C1" sqref="C1"/>
    </sheetView>
  </sheetViews>
  <sheetFormatPr baseColWidth="10" defaultColWidth="11.42578125" defaultRowHeight="15" x14ac:dyDescent="0.25"/>
  <cols>
    <col min="1" max="1" width="1.42578125" style="2" customWidth="1"/>
    <col min="2" max="2" width="18.140625" style="2" customWidth="1"/>
    <col min="3" max="3" width="53" style="2" bestFit="1" customWidth="1"/>
    <col min="4" max="4" width="11.42578125" style="2"/>
    <col min="5" max="5" width="24.140625" style="2" bestFit="1" customWidth="1"/>
    <col min="6" max="6" width="126" style="2" bestFit="1" customWidth="1"/>
    <col min="7" max="10" width="11.42578125" style="2"/>
    <col min="11" max="11" width="25.7109375" style="2" bestFit="1" customWidth="1"/>
    <col min="12" max="13" width="18.140625" style="2" customWidth="1"/>
    <col min="14" max="14" width="38" style="2" bestFit="1" customWidth="1"/>
    <col min="15" max="16384" width="11.42578125" style="2"/>
  </cols>
  <sheetData>
    <row r="1" spans="2:14" ht="7.5" customHeight="1" x14ac:dyDescent="0.25"/>
    <row r="2" spans="2:14" x14ac:dyDescent="0.25">
      <c r="M2" s="124"/>
    </row>
    <row r="3" spans="2:14" ht="7.5" customHeight="1" x14ac:dyDescent="0.25">
      <c r="M3" s="124"/>
    </row>
    <row r="4" spans="2:14" x14ac:dyDescent="0.25">
      <c r="B4" s="91" t="s">
        <v>102</v>
      </c>
      <c r="C4" s="91" t="s">
        <v>99</v>
      </c>
      <c r="D4" s="91" t="s">
        <v>111</v>
      </c>
      <c r="E4" s="91" t="s">
        <v>174</v>
      </c>
      <c r="F4" s="91" t="s">
        <v>100</v>
      </c>
      <c r="K4" s="123" t="s">
        <v>1192</v>
      </c>
      <c r="L4" s="123" t="s">
        <v>1193</v>
      </c>
      <c r="M4" s="123" t="s">
        <v>1194</v>
      </c>
      <c r="N4" s="123" t="s">
        <v>1199</v>
      </c>
    </row>
    <row r="5" spans="2:14" x14ac:dyDescent="0.25">
      <c r="B5" s="89" t="s">
        <v>101</v>
      </c>
      <c r="C5" s="2" t="s">
        <v>51</v>
      </c>
      <c r="D5" s="2">
        <v>2018</v>
      </c>
      <c r="E5" s="2" t="s">
        <v>175</v>
      </c>
      <c r="F5" s="90" t="s">
        <v>698</v>
      </c>
      <c r="K5" s="2" t="s">
        <v>90</v>
      </c>
      <c r="L5" s="2" t="s">
        <v>1195</v>
      </c>
      <c r="M5" s="2" t="s">
        <v>1201</v>
      </c>
      <c r="N5" s="2" t="e">
        <f ca="1">FileNameVar&amp;MenuTable[[#This Row],[menu worksheet]]&amp;"!"&amp;MenuTable[[#This Row],[menu cell]]</f>
        <v>#REF!</v>
      </c>
    </row>
    <row r="6" spans="2:14" ht="18" x14ac:dyDescent="0.35">
      <c r="B6" s="89" t="s">
        <v>101</v>
      </c>
      <c r="C6" s="2" t="s">
        <v>52</v>
      </c>
      <c r="D6" s="2">
        <v>2018</v>
      </c>
      <c r="E6" s="2" t="s">
        <v>175</v>
      </c>
      <c r="F6" s="90" t="s">
        <v>699</v>
      </c>
      <c r="K6" s="2" t="s">
        <v>1197</v>
      </c>
      <c r="L6" s="2" t="s">
        <v>1195</v>
      </c>
      <c r="M6" s="2" t="s">
        <v>1200</v>
      </c>
      <c r="N6" s="2" t="e">
        <f ca="1">FileNameVar&amp;MenuTable[[#This Row],[menu worksheet]]&amp;"!"&amp;MenuTable[[#This Row],[menu cell]]</f>
        <v>#REF!</v>
      </c>
    </row>
    <row r="7" spans="2:14" x14ac:dyDescent="0.25">
      <c r="B7" s="89" t="s">
        <v>101</v>
      </c>
      <c r="C7" s="2" t="s">
        <v>52</v>
      </c>
      <c r="D7" s="2">
        <v>2020</v>
      </c>
      <c r="E7" s="2" t="s">
        <v>175</v>
      </c>
      <c r="F7" s="90" t="s">
        <v>699</v>
      </c>
      <c r="K7" s="2" t="s">
        <v>1196</v>
      </c>
      <c r="L7" s="2" t="s">
        <v>1195</v>
      </c>
      <c r="M7" s="2" t="s">
        <v>1202</v>
      </c>
      <c r="N7" s="2" t="e">
        <f ca="1">FileNameVar&amp;MenuTable[[#This Row],[menu worksheet]]&amp;"!"&amp;MenuTable[[#This Row],[menu cell]]</f>
        <v>#REF!</v>
      </c>
    </row>
    <row r="8" spans="2:14" x14ac:dyDescent="0.25">
      <c r="B8" s="89" t="s">
        <v>101</v>
      </c>
      <c r="C8" s="2" t="s">
        <v>53</v>
      </c>
      <c r="D8" s="2">
        <v>2021</v>
      </c>
      <c r="E8" s="2" t="s">
        <v>175</v>
      </c>
      <c r="F8" s="90" t="s">
        <v>700</v>
      </c>
      <c r="K8" s="2" t="s">
        <v>1198</v>
      </c>
      <c r="L8" s="2" t="s">
        <v>1195</v>
      </c>
      <c r="M8" s="2" t="s">
        <v>1203</v>
      </c>
      <c r="N8" s="2" t="e">
        <f ca="1">FileNameVar&amp;MenuTable[[#This Row],[menu worksheet]]&amp;"!"&amp;MenuTable[[#This Row],[menu cell]]</f>
        <v>#REF!</v>
      </c>
    </row>
    <row r="9" spans="2:14" x14ac:dyDescent="0.25">
      <c r="B9" s="89" t="s">
        <v>101</v>
      </c>
      <c r="C9" s="2" t="s">
        <v>61</v>
      </c>
      <c r="E9" s="2" t="s">
        <v>175</v>
      </c>
      <c r="F9" s="90" t="s">
        <v>701</v>
      </c>
    </row>
    <row r="10" spans="2:14" x14ac:dyDescent="0.25">
      <c r="B10" s="89" t="s">
        <v>101</v>
      </c>
      <c r="C10" s="2" t="s">
        <v>62</v>
      </c>
      <c r="E10" s="2" t="s">
        <v>175</v>
      </c>
      <c r="F10" s="90" t="s">
        <v>701</v>
      </c>
    </row>
    <row r="11" spans="2:14" x14ac:dyDescent="0.25">
      <c r="B11" s="89" t="s">
        <v>112</v>
      </c>
      <c r="C11" s="2" t="s">
        <v>110</v>
      </c>
      <c r="D11" s="2">
        <v>2020</v>
      </c>
      <c r="E11" s="2" t="s">
        <v>176</v>
      </c>
      <c r="F11" s="90" t="s">
        <v>109</v>
      </c>
      <c r="N11" s="90"/>
    </row>
    <row r="12" spans="2:14" x14ac:dyDescent="0.25">
      <c r="B12" s="89" t="s">
        <v>108</v>
      </c>
      <c r="C12" s="2" t="s">
        <v>118</v>
      </c>
      <c r="D12" s="2">
        <v>2021</v>
      </c>
      <c r="E12" s="2" t="s">
        <v>177</v>
      </c>
      <c r="F12" s="90" t="s">
        <v>117</v>
      </c>
    </row>
    <row r="13" spans="2:14" x14ac:dyDescent="0.25">
      <c r="B13" s="89" t="s">
        <v>108</v>
      </c>
      <c r="C13" s="2" t="s">
        <v>170</v>
      </c>
      <c r="D13" s="2">
        <v>2021</v>
      </c>
      <c r="E13" s="2" t="s">
        <v>177</v>
      </c>
      <c r="F13" s="90" t="s">
        <v>171</v>
      </c>
    </row>
    <row r="14" spans="2:14" x14ac:dyDescent="0.25">
      <c r="B14" s="89" t="s">
        <v>108</v>
      </c>
      <c r="C14" s="2" t="s">
        <v>172</v>
      </c>
      <c r="D14" s="2">
        <v>2013</v>
      </c>
      <c r="E14" s="2" t="s">
        <v>178</v>
      </c>
      <c r="F14" s="90" t="s">
        <v>173</v>
      </c>
    </row>
    <row r="15" spans="2:14" x14ac:dyDescent="0.25">
      <c r="B15" s="89" t="s">
        <v>108</v>
      </c>
      <c r="C15" s="2" t="s">
        <v>180</v>
      </c>
      <c r="D15" s="2">
        <v>2010</v>
      </c>
      <c r="E15" s="2" t="s">
        <v>178</v>
      </c>
      <c r="F15" s="90" t="s">
        <v>179</v>
      </c>
    </row>
    <row r="16" spans="2:14" x14ac:dyDescent="0.25">
      <c r="B16" s="89" t="s">
        <v>108</v>
      </c>
      <c r="C16" s="2" t="s">
        <v>181</v>
      </c>
      <c r="D16" s="2">
        <v>2019</v>
      </c>
      <c r="E16" s="2" t="s">
        <v>178</v>
      </c>
      <c r="F16" s="90" t="s">
        <v>182</v>
      </c>
    </row>
    <row r="17" spans="2:6" x14ac:dyDescent="0.25">
      <c r="B17" s="89" t="s">
        <v>702</v>
      </c>
      <c r="C17" s="2" t="s">
        <v>703</v>
      </c>
      <c r="D17" s="2">
        <v>2020</v>
      </c>
      <c r="E17" s="2" t="s">
        <v>704</v>
      </c>
      <c r="F17" s="90" t="s">
        <v>705</v>
      </c>
    </row>
    <row r="18" spans="2:6" x14ac:dyDescent="0.25">
      <c r="B18" s="89" t="s">
        <v>702</v>
      </c>
      <c r="C18" s="2" t="s">
        <v>709</v>
      </c>
      <c r="D18" s="2">
        <v>2020</v>
      </c>
      <c r="E18" s="2" t="s">
        <v>710</v>
      </c>
      <c r="F18" s="90" t="s">
        <v>711</v>
      </c>
    </row>
    <row r="19" spans="2:6" x14ac:dyDescent="0.25">
      <c r="B19" s="89" t="s">
        <v>1191</v>
      </c>
      <c r="C19" s="2" t="s">
        <v>1186</v>
      </c>
      <c r="D19" s="2">
        <v>2021</v>
      </c>
      <c r="E19" s="2" t="s">
        <v>1187</v>
      </c>
      <c r="F19" s="90" t="s">
        <v>1188</v>
      </c>
    </row>
    <row r="20" spans="2:6" x14ac:dyDescent="0.25">
      <c r="B20" s="89" t="s">
        <v>1204</v>
      </c>
      <c r="C20" s="2" t="s">
        <v>1205</v>
      </c>
      <c r="D20" s="2">
        <v>2022</v>
      </c>
      <c r="E20" s="2" t="s">
        <v>1204</v>
      </c>
      <c r="F20" s="90" t="s">
        <v>1206</v>
      </c>
    </row>
  </sheetData>
  <hyperlinks>
    <hyperlink ref="F6" r:id="rId1" xr:uid="{9C2C15DA-2F76-4701-9267-5DABF21FD1AC}"/>
    <hyperlink ref="F7" r:id="rId2" xr:uid="{0D6A2B03-CBB2-4D27-A9B6-8CF353A47D1B}"/>
    <hyperlink ref="F11" r:id="rId3" xr:uid="{C74FBE78-D838-46A1-BF3C-1C68F3D9FFF6}"/>
    <hyperlink ref="F12" r:id="rId4" location="2097182073" xr:uid="{74D3ED5A-22B3-45C8-9BC6-AD20B360423C}"/>
    <hyperlink ref="F13" r:id="rId5" location="tab-googlechartid_googlechartid_googlechartid_chart_1111" xr:uid="{DCF50DF6-2536-4F4F-834F-FDEE1B9BD076}"/>
    <hyperlink ref="F14" r:id="rId6" xr:uid="{544C50FC-493D-48C1-B8E1-5B9D2C605ECC}"/>
    <hyperlink ref="F15" r:id="rId7" xr:uid="{ED032FFC-8A0C-42F4-928D-8696A735606D}"/>
    <hyperlink ref="F16" r:id="rId8" xr:uid="{C5F95AFF-5385-4CB6-BCD0-18A59C11476C}"/>
    <hyperlink ref="F5" r:id="rId9" xr:uid="{B5E06458-8314-40D8-93F0-1C0B0A89536B}"/>
    <hyperlink ref="F8" r:id="rId10" xr:uid="{53916075-22E6-4EB5-88A4-E41461421878}"/>
    <hyperlink ref="F9" r:id="rId11" xr:uid="{AA8ADB1C-7B14-4F78-8D99-81BB551D052F}"/>
    <hyperlink ref="F10" r:id="rId12" xr:uid="{C76D477B-631B-4884-BB26-4BCFEDE111DB}"/>
    <hyperlink ref="F17" r:id="rId13" xr:uid="{224307C9-BB4C-4D47-A5C9-0D886F968AB7}"/>
    <hyperlink ref="F18" r:id="rId14" xr:uid="{40E3E54A-D306-452D-9D07-4CE6303501F9}"/>
    <hyperlink ref="F19" r:id="rId15" xr:uid="{F223DFC4-6CDF-4552-9139-C906D4E487C0}"/>
    <hyperlink ref="F20" r:id="rId16" xr:uid="{32E7DDB9-F650-4FDD-9038-FC75FAFE9022}"/>
  </hyperlinks>
  <pageMargins left="0.7" right="0.7" top="0.78740157499999996" bottom="0.78740157499999996" header="0.3" footer="0.3"/>
  <tableParts count="2">
    <tablePart r:id="rId17"/>
    <tablePart r:id="rId18"/>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CD02F-51AF-47D1-90FE-966DE31696B0}">
  <sheetPr codeName="Tabelle6"/>
  <dimension ref="A1:W29"/>
  <sheetViews>
    <sheetView workbookViewId="0">
      <selection activeCell="E20" sqref="E20"/>
    </sheetView>
  </sheetViews>
  <sheetFormatPr baseColWidth="10" defaultColWidth="0" defaultRowHeight="15" zeroHeight="1" x14ac:dyDescent="0.25"/>
  <cols>
    <col min="1" max="11" width="11.42578125" style="2" customWidth="1"/>
    <col min="12" max="12" width="2.28515625" style="2" customWidth="1"/>
    <col min="13" max="13" width="11.42578125" style="2" customWidth="1"/>
    <col min="14" max="14" width="6.28515625" style="2" customWidth="1"/>
    <col min="15" max="15" width="11.42578125" style="2" customWidth="1"/>
    <col min="16" max="16" width="5.28515625" style="2" customWidth="1"/>
    <col min="17" max="19" width="11.42578125" style="2" customWidth="1"/>
    <col min="20" max="20" width="14.28515625" style="2" bestFit="1" customWidth="1"/>
    <col min="21" max="21" width="6.85546875" style="2" customWidth="1"/>
    <col min="22" max="23" width="11.42578125" style="2" customWidth="1"/>
    <col min="24" max="16384" width="11.42578125" style="2" hidden="1"/>
  </cols>
  <sheetData>
    <row r="1" spans="1:23" x14ac:dyDescent="0.25">
      <c r="A1" s="146" t="str" cm="1">
        <f t="array" ref="A1">_xlfn.XLOOKUP("S0T3",INDEX(TranslationTable,0,1),_xlfn.XLOOKUP(lang,Translation!$B$1:$D$1,Translation!B2:D71),"error")</f>
        <v>en</v>
      </c>
    </row>
    <row r="2" spans="1:23" ht="18.75" x14ac:dyDescent="0.3">
      <c r="E2" s="232" t="str" cm="1">
        <f t="array" ref="E2">_xlfn.XLOOKUP("S2T1",INDEX(TranslationTable,0,1),_xlfn.XLOOKUP(lang,Translation!$B$1:$D$1,Translation!B2:D71),"error")</f>
        <v>Information about the process</v>
      </c>
      <c r="F2" s="233"/>
      <c r="G2" s="233"/>
      <c r="H2" s="233"/>
      <c r="I2" s="233"/>
      <c r="J2" s="233"/>
      <c r="K2" s="233"/>
      <c r="L2" s="233"/>
      <c r="M2" s="233"/>
      <c r="N2" s="233"/>
      <c r="O2" s="233"/>
      <c r="P2" s="234"/>
      <c r="R2" s="207"/>
      <c r="S2" s="207"/>
      <c r="T2" s="207"/>
      <c r="U2" s="207"/>
      <c r="V2" s="207"/>
      <c r="W2" s="207"/>
    </row>
    <row r="3" spans="1:23" ht="18.75" x14ac:dyDescent="0.25">
      <c r="E3" s="135"/>
      <c r="F3" s="135"/>
      <c r="G3" s="135"/>
      <c r="H3" s="135"/>
      <c r="I3" s="135"/>
      <c r="J3" s="135"/>
      <c r="K3" s="135"/>
      <c r="L3" s="135"/>
      <c r="M3" s="135"/>
      <c r="N3" s="135"/>
      <c r="O3" s="135"/>
      <c r="P3" s="135"/>
      <c r="Q3" s="135"/>
      <c r="R3" s="206"/>
      <c r="S3" s="211"/>
      <c r="T3" s="207"/>
      <c r="U3" s="207"/>
      <c r="V3" s="207"/>
      <c r="W3" s="207"/>
    </row>
    <row r="4" spans="1:23" ht="18.75" x14ac:dyDescent="0.25">
      <c r="E4" s="135"/>
      <c r="F4" s="135"/>
      <c r="G4" s="135"/>
      <c r="H4" s="135"/>
      <c r="I4" s="135"/>
      <c r="J4" s="135"/>
      <c r="K4" s="135"/>
      <c r="L4" s="135"/>
      <c r="M4" s="135"/>
      <c r="N4" s="135"/>
      <c r="O4" s="135"/>
      <c r="P4" s="135"/>
      <c r="Q4" s="135"/>
      <c r="R4" s="206"/>
      <c r="S4" s="211"/>
      <c r="T4" s="207"/>
      <c r="U4" s="207"/>
      <c r="V4" s="207"/>
      <c r="W4" s="207"/>
    </row>
    <row r="5" spans="1:23" ht="18.75" x14ac:dyDescent="0.25">
      <c r="E5" s="242" t="str" cm="1">
        <f t="array" ref="E5">_xlfn.XLOOKUP("S2T2",INDEX(TranslationTable,0,1),_xlfn.XLOOKUP(lang,Translation!$B$1:$D$1,Translation!B2:D71),"error")</f>
        <v>What are the power and energy consumption of this process?</v>
      </c>
      <c r="F5" s="242"/>
      <c r="G5" s="242"/>
      <c r="H5" s="242"/>
      <c r="I5" s="242"/>
      <c r="J5" s="242"/>
      <c r="K5" s="242"/>
      <c r="L5" s="133"/>
      <c r="M5" s="243"/>
      <c r="N5" s="244"/>
      <c r="O5" s="134"/>
      <c r="P5" s="135"/>
      <c r="Q5" s="135"/>
      <c r="R5" s="206"/>
      <c r="S5" s="211"/>
      <c r="T5" s="207"/>
      <c r="U5" s="207"/>
      <c r="V5" s="207"/>
      <c r="W5" s="207"/>
    </row>
    <row r="6" spans="1:23" ht="18.75" x14ac:dyDescent="0.25">
      <c r="E6" s="135"/>
      <c r="F6" s="135"/>
      <c r="G6" s="135"/>
      <c r="H6" s="135"/>
      <c r="I6" s="135"/>
      <c r="J6" s="135"/>
      <c r="K6" s="135"/>
      <c r="L6" s="135"/>
      <c r="M6" s="135"/>
      <c r="N6" s="135"/>
      <c r="O6" s="135"/>
      <c r="P6" s="135"/>
      <c r="Q6" s="135"/>
      <c r="R6" s="206"/>
      <c r="S6" s="211"/>
      <c r="T6" s="207"/>
      <c r="U6" s="207"/>
      <c r="V6" s="207"/>
      <c r="W6" s="207"/>
    </row>
    <row r="7" spans="1:23" ht="18.75" x14ac:dyDescent="0.25">
      <c r="F7" s="133" t="str" cm="1">
        <f t="array" ref="F7">_xlfn.XLOOKUP("S2T3",INDEX(TranslationTable,0,1),_xlfn.XLOOKUP(lang,Translation!$B$1:$D$1,Translation!B2:D71),"error")</f>
        <v>Power:</v>
      </c>
      <c r="G7" s="144">
        <v>600</v>
      </c>
      <c r="H7" s="135" t="s">
        <v>13</v>
      </c>
      <c r="I7" s="144">
        <v>2600</v>
      </c>
      <c r="J7" s="135" t="str" cm="1">
        <f t="array" ref="J7">_xlfn.XLOOKUP("S2T6",INDEX(TranslationTable,0,1),_xlfn.XLOOKUP(lang,Translation!$B$1:$D$1,Translation!B2:D71),"error")</f>
        <v>Working hours per year</v>
      </c>
      <c r="K7" s="135"/>
      <c r="L7" s="135"/>
      <c r="M7" s="135"/>
      <c r="N7" s="135"/>
      <c r="O7" s="134"/>
      <c r="P7" s="134"/>
      <c r="Q7" s="221" t="s">
        <v>1967</v>
      </c>
      <c r="R7" s="221" t="s">
        <v>1967</v>
      </c>
      <c r="S7" s="221" t="s">
        <v>1967</v>
      </c>
      <c r="T7" s="222">
        <f>(273.15+M15+P15)/(M15+P15-(M16-P16))*0.45</f>
        <v>2.559535714285714</v>
      </c>
      <c r="U7" s="175"/>
      <c r="V7" s="207"/>
      <c r="W7" s="207"/>
    </row>
    <row r="8" spans="1:23" ht="18.75" x14ac:dyDescent="0.25">
      <c r="F8" s="133" t="str" cm="1">
        <f t="array" ref="F8">_xlfn.XLOOKUP("S2T4",INDEX(TranslationTable,0,1),_xlfn.XLOOKUP(lang,Translation!$B$1:$D$1,Translation!B2:D71),"error")</f>
        <v>Steam production:</v>
      </c>
      <c r="G8" s="138"/>
      <c r="H8" s="135" t="s">
        <v>1949</v>
      </c>
      <c r="I8" s="144"/>
      <c r="J8" s="135" t="str" cm="1">
        <f t="array" ref="J8">_xlfn.XLOOKUP("S2T7",INDEX(TranslationTable,0,1),_xlfn.XLOOKUP(lang,Translation!$B$1:$D$1,Translation!B2:D71),"error")</f>
        <v>Working hours per day</v>
      </c>
      <c r="K8" s="135"/>
      <c r="L8" s="135"/>
      <c r="M8" s="135"/>
      <c r="N8" s="145"/>
      <c r="O8" s="134"/>
      <c r="P8" s="134"/>
      <c r="Q8" s="221" t="s">
        <v>1966</v>
      </c>
      <c r="R8" s="221" t="s">
        <v>1966</v>
      </c>
      <c r="S8" s="221" t="s">
        <v>1966</v>
      </c>
      <c r="T8" s="222">
        <f>68.455*(M15-M16)^(-0.76)</f>
        <v>3.0479667464176496</v>
      </c>
      <c r="U8" s="175"/>
      <c r="V8" s="207"/>
      <c r="W8" s="207"/>
    </row>
    <row r="9" spans="1:23" ht="18.75" x14ac:dyDescent="0.25">
      <c r="F9" s="133" t="str" cm="1">
        <f t="array" ref="F9">_xlfn.XLOOKUP("S2T5",INDEX(TranslationTable,0,1),_xlfn.XLOOKUP(lang,Translation!$B$1:$D$1,Translation!B2:D71),"error")</f>
        <v>Annual consumption:</v>
      </c>
      <c r="G9" s="138"/>
      <c r="H9" s="135" t="s">
        <v>1951</v>
      </c>
      <c r="I9" s="144"/>
      <c r="J9" s="135" t="str" cm="1">
        <f t="array" ref="J9">_xlfn.XLOOKUP("S2T8",INDEX(TranslationTable,0,1),_xlfn.XLOOKUP(lang,Translation!$B$1:$D$1,Translation!B2:D71),"error")</f>
        <v>Working days per year</v>
      </c>
      <c r="K9" s="135"/>
      <c r="L9" s="135"/>
      <c r="M9" s="135"/>
      <c r="N9" s="145"/>
      <c r="O9" s="134"/>
      <c r="P9" s="134"/>
      <c r="Q9" s="221" t="s">
        <v>1968</v>
      </c>
      <c r="R9" s="221" t="s">
        <v>1968</v>
      </c>
      <c r="S9" s="221" t="s">
        <v>1968</v>
      </c>
      <c r="T9" s="222">
        <f>1.9118*(M15+P15-M16-P16+2*0.044189)^(-0.89094)*(M15+273.15+0.044189)^0.67895</f>
        <v>2.8724689998464155</v>
      </c>
      <c r="U9" s="175"/>
      <c r="V9" s="207"/>
      <c r="W9" s="207"/>
    </row>
    <row r="10" spans="1:23" ht="18.75" x14ac:dyDescent="0.25">
      <c r="D10" s="175"/>
      <c r="E10" s="175"/>
      <c r="F10" s="134"/>
      <c r="G10" s="134"/>
      <c r="H10" s="134"/>
      <c r="I10" s="134"/>
      <c r="J10" s="134"/>
      <c r="K10" s="134"/>
      <c r="L10" s="134"/>
      <c r="M10" s="134"/>
      <c r="N10" s="275"/>
      <c r="O10" s="134"/>
      <c r="P10" s="134"/>
      <c r="Q10" s="221" t="s">
        <v>2239</v>
      </c>
      <c r="R10" s="221" t="s">
        <v>2239</v>
      </c>
      <c r="S10" s="221" t="s">
        <v>2239</v>
      </c>
      <c r="T10" s="222">
        <f>52.94*($M$15-$M$16)^(-0.716)</f>
        <v>2.8224589984224564</v>
      </c>
      <c r="U10" s="175"/>
      <c r="V10" s="207"/>
      <c r="W10" s="207"/>
    </row>
    <row r="11" spans="1:23" ht="18.75" x14ac:dyDescent="0.25">
      <c r="D11" s="175"/>
      <c r="E11" s="176">
        <f>G11/I11</f>
        <v>600</v>
      </c>
      <c r="F11" s="176" t="s">
        <v>13</v>
      </c>
      <c r="G11" s="176">
        <f>IF(ISBLANK($G$9),G7*I11,G9)</f>
        <v>1560000</v>
      </c>
      <c r="H11" s="176" t="s">
        <v>1979</v>
      </c>
      <c r="I11" s="176">
        <f>IF(ISBLANK($I$7),I8*I9,I7)</f>
        <v>2600</v>
      </c>
      <c r="J11" s="176" t="s">
        <v>1950</v>
      </c>
      <c r="K11" s="134"/>
      <c r="L11" s="134"/>
      <c r="M11" s="134"/>
      <c r="N11" s="275"/>
      <c r="O11" s="134"/>
      <c r="P11" s="134"/>
      <c r="Q11" s="221" t="s">
        <v>1969</v>
      </c>
      <c r="R11" s="221" t="s">
        <v>1970</v>
      </c>
      <c r="S11" s="221" t="s">
        <v>2050</v>
      </c>
      <c r="T11" s="222">
        <f>M19</f>
        <v>2.5</v>
      </c>
      <c r="U11" s="175"/>
      <c r="V11" s="207"/>
      <c r="W11" s="207"/>
    </row>
    <row r="12" spans="1:23" ht="18.75" x14ac:dyDescent="0.25">
      <c r="D12" s="175"/>
      <c r="E12" s="134"/>
      <c r="F12" s="134"/>
      <c r="G12" s="134"/>
      <c r="H12" s="134"/>
      <c r="I12" s="134"/>
      <c r="J12" s="134"/>
      <c r="K12" s="134"/>
      <c r="L12" s="134"/>
      <c r="M12" s="134"/>
      <c r="N12" s="134"/>
      <c r="O12" s="134"/>
      <c r="P12" s="134"/>
      <c r="Q12" s="134"/>
      <c r="R12" s="206"/>
      <c r="S12" s="211"/>
      <c r="T12" s="207"/>
      <c r="U12" s="207"/>
      <c r="V12" s="207"/>
      <c r="W12" s="207"/>
    </row>
    <row r="13" spans="1:23" ht="18.75" x14ac:dyDescent="0.25">
      <c r="E13" s="242" t="str" cm="1">
        <f t="array" ref="E13">_xlfn.XLOOKUP("S2T9",INDEX(TranslationTable,0,1),_xlfn.XLOOKUP(lang,Translation!$B$1:$D$1,Translation!B2:D71),"error")</f>
        <v>What are the temperatures used for this process?</v>
      </c>
      <c r="F13" s="242"/>
      <c r="G13" s="242"/>
      <c r="H13" s="242"/>
      <c r="I13" s="242"/>
      <c r="J13" s="242"/>
      <c r="K13" s="242"/>
      <c r="L13" s="135"/>
      <c r="M13" s="135"/>
      <c r="N13" s="135"/>
      <c r="O13" s="135"/>
      <c r="P13" s="135"/>
      <c r="Q13" s="135"/>
      <c r="R13" s="207"/>
      <c r="S13" s="211"/>
      <c r="T13" s="207"/>
      <c r="U13" s="207"/>
      <c r="V13" s="207"/>
      <c r="W13" s="207"/>
    </row>
    <row r="14" spans="1:23" ht="18.75" x14ac:dyDescent="0.25">
      <c r="E14" s="147"/>
      <c r="F14" s="147"/>
      <c r="G14" s="147"/>
      <c r="H14" s="147"/>
      <c r="I14" s="147"/>
      <c r="J14" s="147"/>
      <c r="K14" s="147"/>
      <c r="L14" s="135"/>
      <c r="M14" s="135"/>
      <c r="N14" s="135"/>
      <c r="O14" s="135"/>
      <c r="P14" s="135"/>
      <c r="Q14" s="135"/>
      <c r="R14" s="206"/>
      <c r="S14" s="211"/>
      <c r="T14" s="207"/>
      <c r="U14" s="207"/>
      <c r="V14" s="207"/>
      <c r="W14" s="207"/>
    </row>
    <row r="15" spans="1:23" ht="18.75" x14ac:dyDescent="0.25">
      <c r="E15" s="237" t="str" cm="1">
        <f t="array" ref="E15">_xlfn.XLOOKUP("S2T10",INDEX(TranslationTable,0,1),_xlfn.XLOOKUP(lang,Translation!$B$1:$D$1,Translation!B2:D71),"error")</f>
        <v>Hot side temperature:</v>
      </c>
      <c r="F15" s="237"/>
      <c r="G15" s="237"/>
      <c r="H15" s="237"/>
      <c r="I15" s="237"/>
      <c r="J15" s="237"/>
      <c r="K15" s="237"/>
      <c r="L15" s="135"/>
      <c r="M15" s="142">
        <v>120</v>
      </c>
      <c r="N15" s="135" t="s">
        <v>9</v>
      </c>
      <c r="O15" s="135" t="str">
        <f>IF(lang="english","ΔT cond:","ΔT kond:")</f>
        <v>ΔT cond:</v>
      </c>
      <c r="P15" s="148">
        <v>5</v>
      </c>
      <c r="Q15" s="135" t="s">
        <v>48</v>
      </c>
      <c r="R15" s="174">
        <f>M15+P15</f>
        <v>125</v>
      </c>
      <c r="S15" s="211"/>
      <c r="T15" s="207"/>
      <c r="U15" s="207"/>
      <c r="V15" s="207"/>
      <c r="W15" s="207"/>
    </row>
    <row r="16" spans="1:23" ht="18.75" x14ac:dyDescent="0.25">
      <c r="E16" s="237" t="str" cm="1">
        <f t="array" ref="E16">_xlfn.XLOOKUP("S2T11",INDEX(TranslationTable,0,1),_xlfn.XLOOKUP(lang,Translation!$B$1:$D$1,Translation!B2:D71),"error")</f>
        <v>Cold side temperature:</v>
      </c>
      <c r="F16" s="237"/>
      <c r="G16" s="237"/>
      <c r="H16" s="237"/>
      <c r="I16" s="237"/>
      <c r="J16" s="237"/>
      <c r="K16" s="237"/>
      <c r="L16" s="135"/>
      <c r="M16" s="143">
        <v>60</v>
      </c>
      <c r="N16" s="135" t="s">
        <v>9</v>
      </c>
      <c r="O16" s="135" t="str">
        <f>IF(lang="english","ΔT evap:","ΔT evap:")</f>
        <v>ΔT evap:</v>
      </c>
      <c r="P16" s="148">
        <v>5</v>
      </c>
      <c r="Q16" s="135" t="s">
        <v>48</v>
      </c>
      <c r="R16" s="174">
        <f>M16-P16</f>
        <v>55</v>
      </c>
      <c r="S16" s="211"/>
      <c r="T16" s="207"/>
      <c r="U16" s="207"/>
      <c r="V16" s="207"/>
      <c r="W16" s="207"/>
    </row>
    <row r="17" spans="5:23" ht="18.75" hidden="1" customHeight="1" x14ac:dyDescent="0.25">
      <c r="E17" s="237" t="str" cm="1">
        <f t="array" ref="E17">_xlfn.XLOOKUP("S2T12",INDEX(TranslationTable,0,1),_xlfn.XLOOKUP(lang,Translation!$B$1:$D$1,Translation!B2:D71),"error")</f>
        <v>Choose the refrigerant for the heat pump:</v>
      </c>
      <c r="F17" s="237"/>
      <c r="G17" s="237"/>
      <c r="H17" s="237"/>
      <c r="I17" s="237"/>
      <c r="J17" s="237"/>
      <c r="K17" s="237"/>
      <c r="L17" s="135"/>
      <c r="M17" s="235" t="s">
        <v>38</v>
      </c>
      <c r="N17" s="236"/>
      <c r="O17" s="135"/>
      <c r="P17" s="135"/>
      <c r="R17" s="174">
        <f>R15-R16</f>
        <v>70</v>
      </c>
      <c r="S17" s="211"/>
      <c r="T17" s="207"/>
      <c r="U17" s="207"/>
      <c r="V17" s="207"/>
      <c r="W17" s="207"/>
    </row>
    <row r="18" spans="5:23" ht="18.75" x14ac:dyDescent="0.25">
      <c r="E18" s="237" t="str" cm="1">
        <f t="array" ref="E18">_xlfn.XLOOKUP("S2T13",INDEX(TranslationTable,0,1),_xlfn.XLOOKUP(lang,Translation!$B$1:$D$1,Translation!B2:D71),"error")</f>
        <v>Estimated COP:</v>
      </c>
      <c r="F18" s="237"/>
      <c r="G18" s="237"/>
      <c r="H18" s="237"/>
      <c r="I18" s="237"/>
      <c r="J18" s="237"/>
      <c r="K18" s="237"/>
      <c r="L18" s="135"/>
      <c r="M18" s="201">
        <f>IF(lang="english",VLOOKUP(N18,Q7:T11,4,FALSE),IF(lang="deutsch",VLOOKUP(N18,R7:T11,3,FALSE),VLOOKUP(N18,S7:T11,2,FALSE)))</f>
        <v>3.0479667464176496</v>
      </c>
      <c r="N18" s="235" t="s">
        <v>1966</v>
      </c>
      <c r="O18" s="236"/>
      <c r="P18" s="135"/>
      <c r="Q18" s="135"/>
      <c r="R18" s="223" t="str">
        <f>M17</f>
        <v>IsoButane</v>
      </c>
      <c r="S18" s="209"/>
      <c r="T18" s="207"/>
      <c r="U18" s="207"/>
      <c r="V18" s="207"/>
      <c r="W18" s="207"/>
    </row>
    <row r="19" spans="5:23" ht="18.75" x14ac:dyDescent="0.25">
      <c r="E19" s="237" t="str" cm="1">
        <f t="array" ref="E19">_xlfn.XLOOKUP("S2T14",INDEX(TranslationTable,0,1),_xlfn.XLOOKUP(lang,Translation!$B$1:$D$1,Translation!B2:D71),"error")</f>
        <v>Given COP:</v>
      </c>
      <c r="F19" s="237"/>
      <c r="G19" s="237"/>
      <c r="H19" s="237"/>
      <c r="I19" s="237"/>
      <c r="J19" s="237"/>
      <c r="K19" s="237"/>
      <c r="L19" s="135"/>
      <c r="M19" s="202">
        <v>2.5</v>
      </c>
      <c r="N19" s="135"/>
      <c r="O19" s="135"/>
      <c r="P19" s="135"/>
      <c r="Q19" s="135"/>
      <c r="R19" s="207"/>
      <c r="S19" s="216"/>
      <c r="T19" s="207"/>
      <c r="U19" s="207"/>
      <c r="V19" s="207"/>
      <c r="W19" s="207"/>
    </row>
    <row r="20" spans="5:23" ht="18.75" x14ac:dyDescent="0.25">
      <c r="E20" s="135"/>
      <c r="F20" s="135"/>
      <c r="G20" s="135"/>
      <c r="H20" s="135"/>
      <c r="I20" s="135"/>
      <c r="J20" s="135"/>
      <c r="K20" s="135"/>
      <c r="L20" s="135"/>
      <c r="M20" s="135"/>
      <c r="N20" s="135"/>
      <c r="O20" s="135"/>
      <c r="P20" s="135"/>
      <c r="Q20" s="135"/>
      <c r="R20" s="207"/>
      <c r="S20" s="209"/>
      <c r="T20" s="207"/>
      <c r="U20" s="207"/>
      <c r="V20" s="207"/>
      <c r="W20" s="207"/>
    </row>
    <row r="21" spans="5:23" ht="18.75" x14ac:dyDescent="0.25">
      <c r="E21" s="135"/>
      <c r="F21" s="135"/>
      <c r="G21" s="135"/>
      <c r="H21" s="135"/>
      <c r="I21" s="135"/>
      <c r="J21" s="135"/>
      <c r="K21" s="135"/>
      <c r="L21" s="135"/>
      <c r="M21" s="135"/>
      <c r="N21" s="135"/>
      <c r="O21" s="145"/>
      <c r="P21" s="135"/>
      <c r="Q21" s="135"/>
      <c r="R21" s="206"/>
      <c r="S21" s="209"/>
      <c r="T21" s="207"/>
      <c r="U21" s="207"/>
      <c r="V21" s="207"/>
      <c r="W21" s="207"/>
    </row>
    <row r="22" spans="5:23" ht="18.75" x14ac:dyDescent="0.25">
      <c r="E22" s="135"/>
      <c r="F22" s="135"/>
      <c r="G22" s="135"/>
      <c r="H22" s="135"/>
      <c r="I22" s="135"/>
      <c r="J22" s="135"/>
      <c r="K22" s="135"/>
      <c r="L22" s="135"/>
      <c r="M22" s="135"/>
      <c r="N22" s="135"/>
      <c r="O22" s="135"/>
      <c r="P22" s="135"/>
      <c r="Q22" s="135"/>
      <c r="R22" s="206"/>
      <c r="S22" s="211"/>
      <c r="T22" s="207"/>
      <c r="U22" s="207"/>
      <c r="V22" s="207"/>
      <c r="W22" s="207"/>
    </row>
    <row r="23" spans="5:23" ht="18.75" x14ac:dyDescent="0.25">
      <c r="E23" s="135"/>
      <c r="F23" s="135"/>
      <c r="G23" s="135"/>
      <c r="H23" s="135"/>
      <c r="I23" s="135"/>
      <c r="J23" s="135"/>
      <c r="K23" s="135"/>
      <c r="L23" s="135"/>
      <c r="M23" s="135"/>
      <c r="N23" s="135"/>
      <c r="O23" s="135"/>
      <c r="P23" s="135"/>
      <c r="Q23" s="135"/>
      <c r="R23" s="206"/>
      <c r="S23" s="211"/>
      <c r="T23" s="207"/>
      <c r="U23" s="207"/>
      <c r="V23" s="207"/>
      <c r="W23" s="207"/>
    </row>
    <row r="24" spans="5:23" ht="19.5" thickBot="1" x14ac:dyDescent="0.3">
      <c r="E24" s="135"/>
      <c r="F24" s="135"/>
      <c r="G24" s="135"/>
      <c r="H24" s="135"/>
      <c r="I24" s="135"/>
      <c r="J24" s="135"/>
      <c r="K24" s="135"/>
      <c r="L24" s="135"/>
      <c r="M24" s="135"/>
      <c r="N24" s="135"/>
      <c r="O24" s="135"/>
      <c r="P24" s="135"/>
      <c r="Q24" s="135"/>
      <c r="R24" s="206"/>
      <c r="S24" s="211"/>
      <c r="T24" s="207"/>
      <c r="U24" s="207"/>
      <c r="V24" s="207"/>
      <c r="W24" s="207"/>
    </row>
    <row r="25" spans="5:23" ht="20.25" thickTop="1" thickBot="1" x14ac:dyDescent="0.3">
      <c r="E25" s="135"/>
      <c r="F25" s="135"/>
      <c r="G25" s="135"/>
      <c r="H25" s="135"/>
      <c r="I25" s="135"/>
      <c r="J25" s="238" t="str" cm="1">
        <f t="array" aca="1" ref="J25" ca="1">HYPERLINK(L27,_xlfn.XLOOKUP("S0T0",INDEX(TranslationTable,0,1),_xlfn.XLOOKUP(lang,Translation!$B$1:$D$1,Translation!B2:D71),"error"))</f>
        <v xml:space="preserve">          back          </v>
      </c>
      <c r="K25" s="239"/>
      <c r="L25" s="135"/>
      <c r="M25" s="238" t="str" cm="1">
        <f t="array" aca="1" ref="M25" ca="1">HYPERLINK(L28,_xlfn.XLOOKUP("S0T1",INDEX(TranslationTable,0,1),_xlfn.XLOOKUP(lang,Translation!$B$1:$D$1,Translation!B2:D71),"error"))</f>
        <v xml:space="preserve">          next          </v>
      </c>
      <c r="N25" s="239"/>
      <c r="O25" s="135"/>
      <c r="P25" s="135"/>
      <c r="Q25" s="135"/>
      <c r="R25" s="206"/>
      <c r="S25" s="211"/>
      <c r="T25" s="207"/>
      <c r="U25" s="207"/>
      <c r="V25" s="207"/>
      <c r="W25" s="207"/>
    </row>
    <row r="26" spans="5:23" ht="19.5" thickTop="1" x14ac:dyDescent="0.25">
      <c r="E26" s="135"/>
      <c r="F26" s="135"/>
      <c r="G26" s="135"/>
      <c r="H26" s="135"/>
      <c r="I26" s="135"/>
      <c r="J26" s="135"/>
      <c r="K26" s="135"/>
      <c r="L26" s="135"/>
      <c r="M26" s="135"/>
      <c r="N26" s="135"/>
      <c r="O26" s="135"/>
      <c r="P26" s="135"/>
      <c r="Q26" s="135"/>
      <c r="R26" s="206"/>
      <c r="S26" s="211"/>
      <c r="T26" s="207"/>
      <c r="U26" s="207"/>
      <c r="V26" s="207"/>
      <c r="W26" s="207"/>
    </row>
    <row r="27" spans="5:23" x14ac:dyDescent="0.25">
      <c r="E27" s="137"/>
      <c r="F27" s="137"/>
      <c r="G27" s="197" t="str" cm="1">
        <f t="array" aca="1" ref="G27" ca="1">CELL("dateiname",Starting_page!$A$1)</f>
        <v>P:\03_Projekte\270_2021-IntSGHP\03_WP_und_Messungen_Simulationen\Excel_tool\[HeatPump_IntegrationCalculation_Example.xlsx]Starting_page</v>
      </c>
      <c r="H27" s="197" t="str">
        <f ca="1">RIGHT(G27,LEN(G27)-FIND("[",G27)+1)</f>
        <v>[HeatPump_IntegrationCalculation_Example.xlsx]Starting_page</v>
      </c>
      <c r="I27" s="197"/>
      <c r="J27" s="197" t="s">
        <v>1973</v>
      </c>
      <c r="K27" s="197" t="s">
        <v>1974</v>
      </c>
      <c r="L27" s="197" t="str">
        <f ca="1">H27&amp;J27&amp;K27</f>
        <v>[HeatPump_IntegrationCalculation_Example.xlsx]Starting_page!M5</v>
      </c>
      <c r="M27" s="199"/>
      <c r="N27" s="174"/>
      <c r="O27" s="174"/>
      <c r="P27" s="137"/>
      <c r="Q27" s="137"/>
      <c r="R27" s="137"/>
      <c r="S27" s="137"/>
    </row>
    <row r="28" spans="5:23" x14ac:dyDescent="0.25">
      <c r="E28" s="137"/>
      <c r="F28" s="137"/>
      <c r="G28" s="197" t="str" cm="1">
        <f t="array" aca="1" ref="G28" ca="1">CELL("dateiname",Finance_info!$A$1)</f>
        <v>P:\03_Projekte\270_2021-IntSGHP\03_WP_und_Messungen_Simulationen\Excel_tool\[HeatPump_IntegrationCalculation_Example.xlsx]Finance_info</v>
      </c>
      <c r="H28" s="197" t="str">
        <f ca="1">RIGHT(G28,LEN(G28)-FIND("[",G28)+1)</f>
        <v>[HeatPump_IntegrationCalculation_Example.xlsx]Finance_info</v>
      </c>
      <c r="I28" s="197"/>
      <c r="J28" s="197" t="s">
        <v>1973</v>
      </c>
      <c r="K28" s="197" t="s">
        <v>1975</v>
      </c>
      <c r="L28" s="197" t="str">
        <f ca="1">H28&amp;J28&amp;K28</f>
        <v>[HeatPump_IntegrationCalculation_Example.xlsx]Finance_info!M6</v>
      </c>
      <c r="M28" s="199"/>
      <c r="N28" s="174"/>
      <c r="O28" s="174"/>
      <c r="P28" s="137"/>
      <c r="Q28" s="137"/>
      <c r="R28" s="137"/>
      <c r="S28" s="137"/>
    </row>
    <row r="29" spans="5:23" x14ac:dyDescent="0.25"/>
  </sheetData>
  <sheetProtection algorithmName="SHA-512" hashValue="9p+Vfscx6aoZYeMUidyo2O/jyKmGSaBXuX0Nc+PlkJHEJZqAcUvzwrE1Zw6Tnqi3VrAOSC5gYtVY/jgMppPymQ==" saltValue="sp8UibdyQCXyKRO+krbLHg==" spinCount="100000" sheet="1" objects="1" scenarios="1"/>
  <mergeCells count="13">
    <mergeCell ref="M17:N17"/>
    <mergeCell ref="M25:N25"/>
    <mergeCell ref="E2:P2"/>
    <mergeCell ref="E13:K13"/>
    <mergeCell ref="E15:K15"/>
    <mergeCell ref="E16:K16"/>
    <mergeCell ref="J25:K25"/>
    <mergeCell ref="E17:K17"/>
    <mergeCell ref="E5:K5"/>
    <mergeCell ref="M5:N5"/>
    <mergeCell ref="E18:K18"/>
    <mergeCell ref="N18:O18"/>
    <mergeCell ref="E19:K19"/>
  </mergeCells>
  <conditionalFormatting sqref="I8:I9">
    <cfRule type="expression" dxfId="74" priority="7">
      <formula>ISBLANK($I$7)</formula>
    </cfRule>
  </conditionalFormatting>
  <conditionalFormatting sqref="I7">
    <cfRule type="expression" dxfId="73" priority="6">
      <formula>AND(ISBLANK($I$8),ISBLANK($I$9))</formula>
    </cfRule>
  </conditionalFormatting>
  <conditionalFormatting sqref="G8">
    <cfRule type="expression" dxfId="72" priority="5">
      <formula>ISBLANK($G$7)</formula>
    </cfRule>
  </conditionalFormatting>
  <conditionalFormatting sqref="G7">
    <cfRule type="expression" dxfId="71" priority="4">
      <formula>ISBLANK($G$8)</formula>
    </cfRule>
  </conditionalFormatting>
  <conditionalFormatting sqref="G9">
    <cfRule type="expression" dxfId="70" priority="3">
      <formula>AND(ISBLANK($I$7),ISBLANK($I$8),ISBLANK($I$9))</formula>
    </cfRule>
  </conditionalFormatting>
  <conditionalFormatting sqref="E19:M19">
    <cfRule type="expression" dxfId="69" priority="22">
      <formula>NOT(OR($N$18=$Q$11,$N$18=$R$11,$N$18=$S$11))</formula>
    </cfRule>
  </conditionalFormatting>
  <dataValidations count="10">
    <dataValidation type="custom" showInputMessage="1" showErrorMessage="1" error="Check that the value is right and that the cell above is empty" sqref="I8" xr:uid="{DEBFBC10-E997-48C4-8754-5073A6D7A9D5}">
      <formula1>AND(ISBLANK($I$7),AND($I$8&gt;0,$I$8&lt;=24))</formula1>
    </dataValidation>
    <dataValidation type="custom" showInputMessage="1" showErrorMessage="1" error="Check that the value is right and that the cell above is empty" sqref="I9" xr:uid="{B4EFD9B2-E64A-4154-BFAE-79B47AE25298}">
      <formula1>AND(ISBLANK($I$7),AND($I$9&gt;0,$I$9&lt;=366))</formula1>
    </dataValidation>
    <dataValidation type="custom" showInputMessage="1" showErrorMessage="1" error="Check that the value is right and that the cells below are empty" sqref="I7" xr:uid="{6FD8807F-E05C-4438-8D9D-5815737D04E8}">
      <formula1>AND(AND($I$7&gt;0,$I$7&lt;8761),ISBLANK($I$8),ISBLANK($I$9))</formula1>
    </dataValidation>
    <dataValidation type="custom" showInputMessage="1" showErrorMessage="1" sqref="G7" xr:uid="{3179974F-C68E-4890-A1FA-1051144FF75D}">
      <formula1>AND($G$7&gt;0,ISBLANK($G$8))</formula1>
    </dataValidation>
    <dataValidation type="custom" showInputMessage="1" showErrorMessage="1" sqref="G8" xr:uid="{7D1DE2CF-DA86-4A62-9AD7-0BCF30923CC0}">
      <formula1>AND(ISBLANK($G$7),$G$8&gt;0)</formula1>
    </dataValidation>
    <dataValidation type="decimal" allowBlank="1" showInputMessage="1" showErrorMessage="1" error="Temperature should be between -150 and 250°C" sqref="M15" xr:uid="{38E4BA90-B112-491D-8E68-1E9A9D7A6AB3}">
      <formula1>-150</formula1>
      <formula2>250</formula2>
    </dataValidation>
    <dataValidation type="custom" allowBlank="1" showInputMessage="1" showErrorMessage="1" error="The temperature should be between -150 and the hot side temperature" sqref="M16" xr:uid="{D705AF40-DD56-48BC-9823-1436B869F6A8}">
      <formula1>AND($M$16&gt;-150,$M$16&lt;M15)</formula1>
    </dataValidation>
    <dataValidation type="whole" allowBlank="1" showInputMessage="1" showErrorMessage="1" error="Value should be between 0 and 100" prompt="Tipical value are between 5 and 10K" sqref="P15:P16" xr:uid="{C4C00B5A-8B9A-4DEE-A05D-6022F70C53E6}">
      <formula1>0</formula1>
      <formula2>100</formula2>
    </dataValidation>
    <dataValidation type="list" allowBlank="1" showInputMessage="1" showErrorMessage="1" sqref="M17:N17" xr:uid="{78842C41-5126-4B9C-BCED-61C810823CB7}">
      <formula1>INDIRECT("RefrigerantTable[refrigerant]")</formula1>
    </dataValidation>
    <dataValidation type="list" allowBlank="1" showInputMessage="1" showErrorMessage="1" sqref="N18:O18" xr:uid="{F7E2F070-B5C4-425A-8D0F-320D7C0F5DF2}">
      <formula1>IF(lang="english",$Q$7:$Q$11,IF(lang="deutsch",$R$7:$R$11,$S$7:$S$11))</formula1>
    </dataValidation>
  </dataValidations>
  <pageMargins left="0.7" right="0.7" top="0.78740157499999996" bottom="0.78740157499999996"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3088-9DA6-43C1-AD00-1F71467683E0}">
  <sheetPr codeName="Tabelle12"/>
  <dimension ref="A1:W34"/>
  <sheetViews>
    <sheetView topLeftCell="H3" workbookViewId="0">
      <selection activeCell="M28" sqref="M28:N28"/>
    </sheetView>
  </sheetViews>
  <sheetFormatPr baseColWidth="10" defaultColWidth="0" defaultRowHeight="15" zeroHeight="1" x14ac:dyDescent="0.25"/>
  <cols>
    <col min="1" max="11" width="11.42578125" style="151" customWidth="1"/>
    <col min="12" max="12" width="3.5703125" style="151" customWidth="1"/>
    <col min="13" max="13" width="15.28515625" style="151" customWidth="1"/>
    <col min="14" max="14" width="11.42578125" style="151" customWidth="1"/>
    <col min="15" max="15" width="3" style="151" customWidth="1"/>
    <col min="16" max="23" width="11.42578125" style="151" customWidth="1"/>
    <col min="24" max="16384" width="11.42578125" style="151" hidden="1"/>
  </cols>
  <sheetData>
    <row r="1" spans="1:23" ht="18.75" x14ac:dyDescent="0.25">
      <c r="A1" s="149" t="str" cm="1">
        <f t="array" ref="A1">_xlfn.XLOOKUP("S0T3",INDEX(TranslationTable,0,1),_xlfn.XLOOKUP(lang,Translation!$B$1:$D$1,Translation!B2:D71),"error")</f>
        <v>en</v>
      </c>
      <c r="B1" s="150"/>
      <c r="C1" s="150"/>
      <c r="D1" s="150"/>
      <c r="E1" s="150"/>
      <c r="F1" s="150"/>
      <c r="G1" s="150"/>
      <c r="H1" s="150"/>
      <c r="I1" s="150"/>
      <c r="J1" s="150"/>
      <c r="K1" s="150"/>
      <c r="L1" s="150"/>
      <c r="M1" s="150"/>
      <c r="N1" s="150"/>
      <c r="O1" s="150"/>
      <c r="P1" s="150"/>
      <c r="Q1" s="150"/>
      <c r="R1" s="203"/>
      <c r="S1" s="203"/>
      <c r="T1" s="203"/>
      <c r="U1" s="203"/>
      <c r="V1" s="203"/>
      <c r="W1" s="203"/>
    </row>
    <row r="2" spans="1:23" ht="18.75" x14ac:dyDescent="0.3">
      <c r="A2" s="150"/>
      <c r="B2" s="150"/>
      <c r="C2" s="150"/>
      <c r="D2" s="150"/>
      <c r="E2" s="246" t="str" cm="1">
        <f t="array" ref="E2">_xlfn.XLOOKUP("S3T1",INDEX(TranslationTable,0,1),_xlfn.XLOOKUP(lang,Translation!$B$1:$D$1,Translation!B2:D71),"error")</f>
        <v>Financial Information</v>
      </c>
      <c r="F2" s="247"/>
      <c r="G2" s="247"/>
      <c r="H2" s="247"/>
      <c r="I2" s="247"/>
      <c r="J2" s="247"/>
      <c r="K2" s="247"/>
      <c r="L2" s="247"/>
      <c r="M2" s="247"/>
      <c r="N2" s="247"/>
      <c r="O2" s="247"/>
      <c r="P2" s="247"/>
      <c r="Q2" s="248"/>
      <c r="R2" s="176"/>
      <c r="S2" s="176"/>
      <c r="T2" s="176"/>
      <c r="U2" s="176"/>
      <c r="V2" s="176"/>
      <c r="W2" s="203"/>
    </row>
    <row r="3" spans="1:23" ht="18.75" x14ac:dyDescent="0.3">
      <c r="A3" s="150"/>
      <c r="B3" s="150"/>
      <c r="C3" s="150"/>
      <c r="D3" s="150"/>
      <c r="E3" s="157"/>
      <c r="F3" s="157"/>
      <c r="G3" s="157"/>
      <c r="H3" s="157"/>
      <c r="I3" s="157"/>
      <c r="J3" s="157"/>
      <c r="K3" s="157"/>
      <c r="L3" s="157"/>
      <c r="M3" s="157"/>
      <c r="N3" s="157"/>
      <c r="O3" s="157"/>
      <c r="P3" s="157"/>
      <c r="Q3" s="157"/>
      <c r="R3" s="176"/>
      <c r="S3" s="210"/>
      <c r="T3" s="210"/>
      <c r="U3" s="210"/>
      <c r="V3" s="210"/>
      <c r="W3" s="210"/>
    </row>
    <row r="4" spans="1:23" ht="18.75" x14ac:dyDescent="0.25">
      <c r="A4" s="150"/>
      <c r="B4" s="150"/>
      <c r="C4" s="150"/>
      <c r="D4" s="150"/>
      <c r="E4" s="149"/>
      <c r="F4" s="250" t="str" cm="1">
        <f t="array" ref="F4">_xlfn.XLOOKUP("S3T2",INDEX(TranslationTable,0,1),_xlfn.XLOOKUP(lang,Translation!$B$1:$D$1,Translation!B2:D71),"error")</f>
        <v>! If the information is not known try to guess!</v>
      </c>
      <c r="G4" s="251"/>
      <c r="H4" s="251"/>
      <c r="I4" s="251"/>
      <c r="J4" s="251"/>
      <c r="K4" s="251"/>
      <c r="L4" s="251"/>
      <c r="M4" s="252"/>
      <c r="N4" s="149"/>
      <c r="O4" s="149"/>
      <c r="P4" s="212"/>
      <c r="Q4" s="212"/>
      <c r="R4" s="212"/>
      <c r="S4" s="210"/>
      <c r="T4" s="210"/>
      <c r="U4" s="210"/>
      <c r="V4" s="210"/>
      <c r="W4" s="210"/>
    </row>
    <row r="5" spans="1:23" ht="18.75" x14ac:dyDescent="0.25">
      <c r="A5" s="150"/>
      <c r="B5" s="150"/>
      <c r="C5" s="150"/>
      <c r="D5" s="150"/>
      <c r="E5" s="149"/>
      <c r="F5" s="149"/>
      <c r="G5" s="149"/>
      <c r="H5" s="149"/>
      <c r="I5" s="149"/>
      <c r="J5" s="149"/>
      <c r="K5" s="149"/>
      <c r="L5" s="149"/>
      <c r="M5" s="149"/>
      <c r="N5" s="149"/>
      <c r="O5" s="149"/>
      <c r="P5" s="212"/>
      <c r="Q5" s="212"/>
      <c r="R5" s="212"/>
      <c r="S5" s="210"/>
      <c r="T5" s="210"/>
      <c r="U5" s="210"/>
      <c r="V5" s="210"/>
      <c r="W5" s="210"/>
    </row>
    <row r="6" spans="1:23" ht="18.75" x14ac:dyDescent="0.25">
      <c r="A6" s="150"/>
      <c r="B6" s="150"/>
      <c r="C6" s="150"/>
      <c r="D6" s="150"/>
      <c r="E6" s="245" t="str" cm="1">
        <f t="array" ref="E6">_xlfn.XLOOKUP("S3T3",INDEX(TranslationTable,0,1),_xlfn.XLOOKUP(lang,Translation!$B$1:$D$1,Translation!B2:D71),"error")</f>
        <v>Electricity cost:</v>
      </c>
      <c r="F6" s="245"/>
      <c r="G6" s="245"/>
      <c r="H6" s="245"/>
      <c r="I6" s="245"/>
      <c r="J6" s="245"/>
      <c r="K6" s="245"/>
      <c r="L6" s="152"/>
      <c r="M6" s="154">
        <v>0.3</v>
      </c>
      <c r="N6" s="149" t="str">
        <f>currency&amp;"/kWh"</f>
        <v>CHF/kWh</v>
      </c>
      <c r="O6" s="153"/>
      <c r="P6" s="212"/>
      <c r="Q6" s="212"/>
      <c r="R6" s="153"/>
      <c r="S6" s="210"/>
      <c r="T6" s="210"/>
      <c r="U6" s="210"/>
      <c r="V6" s="210"/>
      <c r="W6" s="210"/>
    </row>
    <row r="7" spans="1:23" ht="18.75" x14ac:dyDescent="0.25">
      <c r="A7" s="150"/>
      <c r="B7" s="150"/>
      <c r="C7" s="150"/>
      <c r="D7" s="150"/>
      <c r="E7" s="245" t="str" cm="1">
        <f t="array" ref="E7">_xlfn.XLOOKUP("S3T4",INDEX(TranslationTable,0,1),_xlfn.XLOOKUP(lang,Translation!$B$1:$D$1,Translation!B2:D71),"error")</f>
        <v>Electricity yearly fee:</v>
      </c>
      <c r="F7" s="245"/>
      <c r="G7" s="245"/>
      <c r="H7" s="245"/>
      <c r="I7" s="245"/>
      <c r="J7" s="245"/>
      <c r="K7" s="245"/>
      <c r="L7" s="149"/>
      <c r="M7" s="154">
        <v>0</v>
      </c>
      <c r="N7" s="149" t="str">
        <f>currency</f>
        <v>CHF</v>
      </c>
      <c r="O7" s="149"/>
      <c r="P7" s="212"/>
      <c r="Q7" s="212"/>
      <c r="R7" s="153"/>
      <c r="S7" s="176"/>
      <c r="T7" s="176"/>
      <c r="U7" s="176"/>
      <c r="V7" s="176"/>
      <c r="W7" s="210"/>
    </row>
    <row r="8" spans="1:23" ht="18.75" x14ac:dyDescent="0.25">
      <c r="A8" s="150"/>
      <c r="B8" s="150"/>
      <c r="C8" s="150"/>
      <c r="D8" s="150"/>
      <c r="E8" s="245" t="str" cm="1">
        <f t="array" ref="E8">_xlfn.XLOOKUP("S3T5",INDEX(TranslationTable,0,1),_xlfn.XLOOKUP(lang,Translation!$B$1:$D$1,Translation!B2:D71),"error")</f>
        <v>Electricity CO2 emission:</v>
      </c>
      <c r="F8" s="245"/>
      <c r="G8" s="245"/>
      <c r="H8" s="245"/>
      <c r="I8" s="245"/>
      <c r="J8" s="245"/>
      <c r="K8" s="245"/>
      <c r="L8" s="149"/>
      <c r="M8" s="154">
        <v>0.2</v>
      </c>
      <c r="N8" s="149" t="s">
        <v>1964</v>
      </c>
      <c r="O8" s="149"/>
      <c r="P8" s="212"/>
      <c r="Q8" s="212"/>
      <c r="R8" s="153"/>
      <c r="S8" s="176"/>
      <c r="T8" s="176"/>
      <c r="U8" s="176"/>
      <c r="V8" s="176"/>
      <c r="W8" s="210"/>
    </row>
    <row r="9" spans="1:23" ht="18.75" x14ac:dyDescent="0.25">
      <c r="A9" s="150"/>
      <c r="B9" s="150"/>
      <c r="C9" s="150"/>
      <c r="D9" s="150"/>
      <c r="E9" s="245" t="str" cm="1">
        <f t="array" ref="E9">_xlfn.XLOOKUP("S3T6",INDEX(TranslationTable,0,1),_xlfn.XLOOKUP(lang,Translation!$B$1:$D$1,Translation!B2:D71),"error")</f>
        <v>natural gas cost:</v>
      </c>
      <c r="F9" s="245"/>
      <c r="G9" s="245"/>
      <c r="H9" s="245"/>
      <c r="I9" s="245"/>
      <c r="J9" s="245"/>
      <c r="K9" s="245"/>
      <c r="L9" s="152"/>
      <c r="M9" s="155">
        <v>0.15</v>
      </c>
      <c r="N9" s="149" t="str">
        <f>currency&amp;"/kWh"</f>
        <v>CHF/kWh</v>
      </c>
      <c r="P9" s="213"/>
      <c r="Q9" s="212" t="str">
        <f>currency&amp;"/GJ"</f>
        <v>CHF/GJ</v>
      </c>
      <c r="R9" s="224">
        <f>IF(ISBLANK($P$9),M9,P9/277.78)</f>
        <v>0.15</v>
      </c>
      <c r="S9" s="176" t="str">
        <f>currency&amp;"/kWh"</f>
        <v>CHF/kWh</v>
      </c>
      <c r="T9" s="176"/>
      <c r="U9" s="176"/>
      <c r="V9" s="176"/>
      <c r="W9" s="210"/>
    </row>
    <row r="10" spans="1:23" ht="18.75" x14ac:dyDescent="0.25">
      <c r="A10" s="150"/>
      <c r="B10" s="150"/>
      <c r="C10" s="150"/>
      <c r="D10" s="150"/>
      <c r="E10" s="245" t="str" cm="1">
        <f t="array" ref="E10">_xlfn.XLOOKUP("S3T7",INDEX(TranslationTable,0,1),_xlfn.XLOOKUP(lang,Translation!$B$1:$D$1,Translation!B2:D71),"error")</f>
        <v>natural gas yearly fee:</v>
      </c>
      <c r="F10" s="245"/>
      <c r="G10" s="245"/>
      <c r="H10" s="245"/>
      <c r="I10" s="245"/>
      <c r="J10" s="245"/>
      <c r="K10" s="245"/>
      <c r="L10" s="149"/>
      <c r="M10" s="154">
        <v>0</v>
      </c>
      <c r="N10" s="149" t="str">
        <f>currency</f>
        <v>CHF</v>
      </c>
      <c r="O10" s="149"/>
      <c r="P10" s="212"/>
      <c r="Q10" s="212"/>
      <c r="R10" s="153"/>
      <c r="S10" s="176"/>
      <c r="T10" s="176"/>
      <c r="U10" s="176"/>
      <c r="V10" s="176"/>
      <c r="W10" s="210"/>
    </row>
    <row r="11" spans="1:23" ht="18.75" x14ac:dyDescent="0.25">
      <c r="A11" s="150"/>
      <c r="B11" s="150"/>
      <c r="C11" s="150"/>
      <c r="D11" s="150"/>
      <c r="E11" s="245" t="str" cm="1">
        <f t="array" ref="E11">_xlfn.XLOOKUP("S3T8",INDEX(TranslationTable,0,1),_xlfn.XLOOKUP(lang,Translation!$B$1:$D$1,Translation!B2:D71),"error")</f>
        <v>CO2 tax:</v>
      </c>
      <c r="F11" s="245"/>
      <c r="G11" s="245"/>
      <c r="H11" s="245"/>
      <c r="I11" s="245"/>
      <c r="J11" s="245"/>
      <c r="K11" s="245"/>
      <c r="L11" s="149"/>
      <c r="M11" s="142">
        <v>0</v>
      </c>
      <c r="N11" s="149" t="str">
        <f>currency&amp;"/TCO2"</f>
        <v>CHF/TCO2</v>
      </c>
      <c r="O11" s="149"/>
      <c r="P11" s="212"/>
      <c r="Q11" s="212"/>
      <c r="R11" s="224">
        <f>IF(OR(fuel="natural gas",fuel="gas"),$M$11*$U$11/1000,$M$11*$U$12/1000)</f>
        <v>0</v>
      </c>
      <c r="S11" s="176" t="s">
        <v>1965</v>
      </c>
      <c r="T11" s="225" t="s">
        <v>1953</v>
      </c>
      <c r="U11" s="226">
        <v>0.18121000000000001</v>
      </c>
      <c r="V11" s="176"/>
      <c r="W11" s="210"/>
    </row>
    <row r="12" spans="1:23" ht="18.75" x14ac:dyDescent="0.25">
      <c r="A12" s="150"/>
      <c r="B12" s="150"/>
      <c r="C12" s="150"/>
      <c r="D12" s="150"/>
      <c r="E12" s="149"/>
      <c r="F12" s="149"/>
      <c r="G12" s="149"/>
      <c r="H12" s="149"/>
      <c r="I12" s="245"/>
      <c r="J12" s="245"/>
      <c r="K12" s="245"/>
      <c r="L12" s="149"/>
      <c r="M12" s="249"/>
      <c r="N12" s="249"/>
      <c r="O12" s="153"/>
      <c r="P12" s="212"/>
      <c r="Q12" s="212"/>
      <c r="R12" s="153"/>
      <c r="S12" s="176"/>
      <c r="T12" s="225" t="s">
        <v>1952</v>
      </c>
      <c r="U12" s="226">
        <v>0.24978</v>
      </c>
      <c r="V12" s="176"/>
      <c r="W12" s="210"/>
    </row>
    <row r="13" spans="1:23" ht="18.75" x14ac:dyDescent="0.25">
      <c r="A13" s="150"/>
      <c r="B13" s="150"/>
      <c r="C13" s="150"/>
      <c r="D13" s="150"/>
      <c r="E13" s="245" t="str" cm="1">
        <f t="array" ref="E13">_xlfn.XLOOKUP("S3T9",INDEX(TranslationTable,0,1),_xlfn.XLOOKUP(lang,Translation!$B$1:$D$1,Translation!B2:D71),"error")</f>
        <v>Lifetime of the heat pump:</v>
      </c>
      <c r="F13" s="245"/>
      <c r="G13" s="245"/>
      <c r="H13" s="245"/>
      <c r="I13" s="245"/>
      <c r="J13" s="245"/>
      <c r="K13" s="245"/>
      <c r="L13" s="149"/>
      <c r="M13" s="142">
        <v>20</v>
      </c>
      <c r="N13" s="149" t="str" cm="1">
        <f t="array" ref="N13">_xlfn.XLOOKUP("S3T20",INDEX(TranslationTable,0,1),_xlfn.XLOOKUP(lang,Translation!$B$1:$D$1,Translation!B2:D71),"error")</f>
        <v>years</v>
      </c>
      <c r="O13" s="149"/>
      <c r="P13" s="214"/>
      <c r="Q13" s="214"/>
      <c r="R13" s="153"/>
      <c r="S13" s="176"/>
      <c r="T13" s="225" t="s">
        <v>1986</v>
      </c>
      <c r="U13" s="226">
        <v>0</v>
      </c>
      <c r="V13" s="176"/>
      <c r="W13" s="210"/>
    </row>
    <row r="14" spans="1:23" ht="18.75" x14ac:dyDescent="0.25">
      <c r="A14" s="150"/>
      <c r="B14" s="150"/>
      <c r="C14" s="150"/>
      <c r="D14" s="150"/>
      <c r="E14" s="245" t="str" cm="1">
        <f t="array" ref="E14">_xlfn.XLOOKUP("S3T10",INDEX(TranslationTable,0,1),_xlfn.XLOOKUP(lang,Translation!$B$1:$D$1,Translation!B2:D71),"error")</f>
        <v>Heat pump price:</v>
      </c>
      <c r="F14" s="245"/>
      <c r="G14" s="245"/>
      <c r="H14" s="245"/>
      <c r="I14" s="245"/>
      <c r="J14" s="245"/>
      <c r="K14" s="245"/>
      <c r="L14" s="149"/>
      <c r="M14" s="144"/>
      <c r="N14" s="149" t="str">
        <f>currency</f>
        <v>CHF</v>
      </c>
      <c r="O14" s="149"/>
      <c r="P14" s="138">
        <v>1000</v>
      </c>
      <c r="Q14" s="149" t="s">
        <v>1958</v>
      </c>
      <c r="R14" s="227">
        <f>IF(ISBLANK($P$14),M14,P14*Process_info!E11)</f>
        <v>600000</v>
      </c>
      <c r="S14" s="176" t="s">
        <v>754</v>
      </c>
      <c r="T14" s="225" t="str">
        <f>fuel_en</f>
        <v>natural gas</v>
      </c>
      <c r="U14" s="228">
        <f>_xlfn.XLOOKUP(T14,T11:T13,U11:U13)</f>
        <v>0.18121000000000001</v>
      </c>
      <c r="V14" s="176"/>
      <c r="W14" s="210"/>
    </row>
    <row r="15" spans="1:23" ht="18.75" x14ac:dyDescent="0.25">
      <c r="A15" s="150"/>
      <c r="B15" s="150"/>
      <c r="C15" s="150"/>
      <c r="D15" s="150"/>
      <c r="E15" s="245" t="str" cm="1">
        <f t="array" ref="E15">_xlfn.XLOOKUP("S3T11",INDEX(TranslationTable,0,1),_xlfn.XLOOKUP(lang,Translation!$B$1:$D$1,Translation!B2:D71),"error")</f>
        <v>Heat pump installation cost:</v>
      </c>
      <c r="F15" s="245"/>
      <c r="G15" s="245"/>
      <c r="H15" s="245"/>
      <c r="I15" s="245"/>
      <c r="J15" s="245"/>
      <c r="K15" s="245"/>
      <c r="L15" s="149"/>
      <c r="M15" s="144"/>
      <c r="N15" s="142" t="s">
        <v>754</v>
      </c>
      <c r="O15" s="149"/>
      <c r="P15" s="138">
        <v>10</v>
      </c>
      <c r="Q15" s="149" t="s">
        <v>1957</v>
      </c>
      <c r="R15" s="227">
        <f>IF(ISBLANK($P$15),IF(N15="CHF",$M15,$M15*Process_info!$E$11),P15/100*R14)</f>
        <v>60000</v>
      </c>
      <c r="S15" s="176" t="s">
        <v>754</v>
      </c>
      <c r="T15" s="176"/>
      <c r="U15" s="176"/>
      <c r="V15" s="176"/>
      <c r="W15" s="210"/>
    </row>
    <row r="16" spans="1:23" ht="18.75" x14ac:dyDescent="0.25">
      <c r="E16" s="245" t="str" cm="1">
        <f t="array" ref="E16">_xlfn.XLOOKUP("S3T12",INDEX(TranslationTable,0,1),_xlfn.XLOOKUP(lang,Translation!$B$1:$D$1,Translation!B2:D71),"error")</f>
        <v>Heat pump maintenance cost:</v>
      </c>
      <c r="F16" s="245"/>
      <c r="G16" s="245"/>
      <c r="H16" s="245"/>
      <c r="I16" s="245"/>
      <c r="J16" s="245"/>
      <c r="K16" s="245"/>
      <c r="L16" s="149"/>
      <c r="M16" s="144"/>
      <c r="N16" s="149" t="str">
        <f>IF(lang="english",currency&amp;"/year",currency&amp;"/Jahre")</f>
        <v>CHF/year</v>
      </c>
      <c r="P16" s="138">
        <v>3</v>
      </c>
      <c r="Q16" s="149" t="s">
        <v>1957</v>
      </c>
      <c r="R16" s="227">
        <f>IF(ISBLANK($P$16),$M16,$P16/100*$R$14)</f>
        <v>18000</v>
      </c>
      <c r="S16" s="176" t="s">
        <v>1978</v>
      </c>
      <c r="T16" s="198"/>
      <c r="U16" s="198"/>
      <c r="V16" s="198"/>
      <c r="W16" s="215"/>
    </row>
    <row r="17" spans="1:23" ht="18.75" x14ac:dyDescent="0.25">
      <c r="A17" s="150"/>
      <c r="B17" s="150"/>
      <c r="C17" s="150"/>
      <c r="D17" s="150"/>
      <c r="E17" s="245" t="str" cm="1">
        <f t="array" ref="E17">_xlfn.XLOOKUP("S3T13",INDEX(TranslationTable,0,1),_xlfn.XLOOKUP(lang,Translation!$B$1:$D$1,Translation!B2:D71),"error")</f>
        <v>Heat pump subsidies:</v>
      </c>
      <c r="F17" s="245"/>
      <c r="G17" s="245"/>
      <c r="H17" s="245"/>
      <c r="I17" s="245"/>
      <c r="J17" s="245"/>
      <c r="K17" s="245"/>
      <c r="L17" s="149"/>
      <c r="M17" s="171">
        <v>100000</v>
      </c>
      <c r="N17" s="142" t="s">
        <v>754</v>
      </c>
      <c r="O17" s="149"/>
      <c r="P17" s="212"/>
      <c r="Q17" s="176" t="str">
        <f>currency&amp;"/kW"</f>
        <v>CHF/kW</v>
      </c>
      <c r="R17" s="227">
        <f>IF(N17="CHF",$M17,$M17*Process_info!$E$11)</f>
        <v>100000</v>
      </c>
      <c r="S17" s="176" t="s">
        <v>754</v>
      </c>
      <c r="T17" s="176"/>
      <c r="U17" s="176"/>
      <c r="V17" s="176"/>
      <c r="W17" s="210"/>
    </row>
    <row r="18" spans="1:23" ht="18.75" x14ac:dyDescent="0.25">
      <c r="A18" s="150"/>
      <c r="B18" s="150"/>
      <c r="C18" s="150"/>
      <c r="D18" s="150"/>
      <c r="O18" s="149"/>
      <c r="P18" s="212"/>
      <c r="Q18" s="176" t="str">
        <f>currency</f>
        <v>CHF</v>
      </c>
      <c r="R18" s="153"/>
      <c r="S18" s="176"/>
      <c r="T18" s="176"/>
      <c r="U18" s="176"/>
      <c r="V18" s="176"/>
      <c r="W18" s="210"/>
    </row>
    <row r="19" spans="1:23" ht="18.75" x14ac:dyDescent="0.25">
      <c r="E19" s="245" t="str" cm="1">
        <f t="array" ref="E19">_xlfn.XLOOKUP("S3T14",INDEX(TranslationTable,0,1),_xlfn.XLOOKUP(lang,Translation!$B$1:$D$1,Translation!B2:D71),"error")</f>
        <v>Lifetime of the natural gas-fired boiler:</v>
      </c>
      <c r="F19" s="245"/>
      <c r="G19" s="245"/>
      <c r="H19" s="245"/>
      <c r="I19" s="245"/>
      <c r="J19" s="245"/>
      <c r="K19" s="245"/>
      <c r="L19" s="149"/>
      <c r="M19" s="142">
        <v>20</v>
      </c>
      <c r="N19" s="149" t="str" cm="1">
        <f t="array" ref="N19">_xlfn.XLOOKUP("S3T20",INDEX(TranslationTable,0,1),_xlfn.XLOOKUP(lang,Translation!$B$1:$D$1,Translation!B2:D71),"error")</f>
        <v>years</v>
      </c>
      <c r="P19" s="215"/>
      <c r="Q19" s="215"/>
      <c r="R19" s="198"/>
      <c r="S19" s="198"/>
      <c r="T19" s="198"/>
      <c r="U19" s="198"/>
      <c r="V19" s="198"/>
      <c r="W19" s="215"/>
    </row>
    <row r="20" spans="1:23" ht="18.75" x14ac:dyDescent="0.25">
      <c r="E20" s="245" t="str" cm="1">
        <f t="array" ref="E20">_xlfn.XLOOKUP("S3T15",INDEX(TranslationTable,0,1),_xlfn.XLOOKUP(lang,Translation!$B$1:$D$1,Translation!B2:D71),"error")</f>
        <v>natural gas-fired boiler efficiency:</v>
      </c>
      <c r="F20" s="245"/>
      <c r="G20" s="245"/>
      <c r="H20" s="245"/>
      <c r="I20" s="245"/>
      <c r="J20" s="245"/>
      <c r="K20" s="245"/>
      <c r="L20" s="149"/>
      <c r="M20" s="165">
        <v>90</v>
      </c>
      <c r="N20" s="149" t="s">
        <v>10</v>
      </c>
      <c r="P20" s="215"/>
      <c r="Q20" s="215"/>
      <c r="R20" s="198"/>
      <c r="S20" s="198"/>
      <c r="T20" s="198"/>
      <c r="U20" s="198"/>
      <c r="V20" s="198"/>
      <c r="W20" s="215"/>
    </row>
    <row r="21" spans="1:23" ht="18.75" x14ac:dyDescent="0.25">
      <c r="E21" s="245" t="str" cm="1">
        <f t="array" ref="E21">_xlfn.XLOOKUP("S3T16",INDEX(TranslationTable,0,1),_xlfn.XLOOKUP(lang,Translation!$B$1:$D$1,Translation!B2:D71),"error")</f>
        <v>natural gas-fired boiler price:</v>
      </c>
      <c r="F21" s="245"/>
      <c r="G21" s="245"/>
      <c r="H21" s="245"/>
      <c r="I21" s="245"/>
      <c r="J21" s="245"/>
      <c r="K21" s="245"/>
      <c r="L21" s="149"/>
      <c r="M21" s="171">
        <v>90000</v>
      </c>
      <c r="N21" s="142" t="s">
        <v>754</v>
      </c>
      <c r="P21" s="215"/>
      <c r="Q21" s="215"/>
      <c r="R21" s="227">
        <f>IF(N21="CHF",$M21,$M21*Process_info!$E$11)</f>
        <v>90000</v>
      </c>
      <c r="S21" s="176" t="s">
        <v>754</v>
      </c>
      <c r="T21" s="198"/>
      <c r="U21" s="198"/>
      <c r="V21" s="198"/>
      <c r="W21" s="215"/>
    </row>
    <row r="22" spans="1:23" ht="18.75" x14ac:dyDescent="0.25">
      <c r="A22" s="150"/>
      <c r="B22" s="150"/>
      <c r="C22" s="150"/>
      <c r="D22" s="150"/>
      <c r="E22" s="245" t="str" cm="1">
        <f t="array" ref="E22">_xlfn.XLOOKUP("S3T17",INDEX(TranslationTable,0,1),_xlfn.XLOOKUP(lang,Translation!$B$1:$D$1,Translation!B2:D71),"error")</f>
        <v>natural gas-fired boiler maintenance cost:</v>
      </c>
      <c r="F22" s="245"/>
      <c r="G22" s="245"/>
      <c r="H22" s="245"/>
      <c r="I22" s="245"/>
      <c r="J22" s="245"/>
      <c r="K22" s="245"/>
      <c r="L22" s="149"/>
      <c r="M22" s="144"/>
      <c r="N22" s="149" t="str">
        <f>IF(lang="english",currency&amp;"/year",currency&amp;"/Jahre")</f>
        <v>CHF/year</v>
      </c>
      <c r="P22" s="138">
        <v>3</v>
      </c>
      <c r="Q22" s="149" t="s">
        <v>1957</v>
      </c>
      <c r="R22" s="227">
        <f>IF(ISBLANK($P$22),$M22,$P22/100*$R$21)</f>
        <v>2700</v>
      </c>
      <c r="S22" s="176" t="s">
        <v>1978</v>
      </c>
      <c r="T22" s="176"/>
      <c r="U22" s="176"/>
      <c r="V22" s="176"/>
      <c r="W22" s="210"/>
    </row>
    <row r="23" spans="1:23" ht="18.75" x14ac:dyDescent="0.25">
      <c r="A23" s="150"/>
      <c r="B23" s="150"/>
      <c r="C23" s="150"/>
      <c r="D23" s="150"/>
      <c r="E23" s="245" t="str" cm="1">
        <f t="array" ref="E23">_xlfn.XLOOKUP("S3T18",INDEX(TranslationTable,0,1),_xlfn.XLOOKUP(lang,Translation!$B$1:$D$1,Translation!B2:D71),"error")</f>
        <v>natural gas-fired boiler installation cost:</v>
      </c>
      <c r="F23" s="245"/>
      <c r="G23" s="245"/>
      <c r="H23" s="245"/>
      <c r="I23" s="245"/>
      <c r="J23" s="245"/>
      <c r="K23" s="245"/>
      <c r="L23" s="149"/>
      <c r="M23" s="142">
        <v>15000</v>
      </c>
      <c r="N23" s="149" t="str">
        <f>currency</f>
        <v>CHF</v>
      </c>
      <c r="O23" s="149"/>
      <c r="P23" s="149"/>
      <c r="Q23" s="149"/>
      <c r="R23" s="227">
        <f>IF(N23="CHF",$M23,$M23*Process_info!$E$11)</f>
        <v>15000</v>
      </c>
      <c r="S23" s="176" t="s">
        <v>754</v>
      </c>
      <c r="T23" s="176"/>
      <c r="U23" s="176"/>
      <c r="V23" s="176"/>
      <c r="W23" s="210"/>
    </row>
    <row r="24" spans="1:23" ht="18.75" x14ac:dyDescent="0.25">
      <c r="A24" s="150"/>
      <c r="B24" s="150"/>
      <c r="C24" s="150"/>
      <c r="D24" s="150"/>
      <c r="O24" s="149"/>
      <c r="P24" s="149"/>
      <c r="Q24" s="149"/>
      <c r="R24" s="153"/>
      <c r="S24" s="176"/>
      <c r="T24" s="176"/>
      <c r="U24" s="176"/>
      <c r="V24" s="176"/>
      <c r="W24" s="210"/>
    </row>
    <row r="25" spans="1:23" ht="18.75" x14ac:dyDescent="0.25">
      <c r="A25" s="150"/>
      <c r="B25" s="150"/>
      <c r="C25" s="150"/>
      <c r="D25" s="150"/>
      <c r="E25" s="245" t="str" cm="1">
        <f t="array" ref="E25">_xlfn.XLOOKUP("S3T19",INDEX(TranslationTable,0,1),_xlfn.XLOOKUP(lang,Translation!$B$1:$D$1,Translation!B2:D71),"error")</f>
        <v>Discount interest:</v>
      </c>
      <c r="F25" s="245"/>
      <c r="G25" s="245"/>
      <c r="H25" s="245"/>
      <c r="I25" s="245"/>
      <c r="J25" s="245"/>
      <c r="K25" s="245"/>
      <c r="L25" s="149"/>
      <c r="M25" s="142">
        <v>10</v>
      </c>
      <c r="N25" s="151" t="s">
        <v>10</v>
      </c>
      <c r="O25" s="149"/>
      <c r="P25" s="149"/>
      <c r="Q25" s="149"/>
      <c r="R25" s="212"/>
      <c r="S25" s="210"/>
      <c r="T25" s="210"/>
      <c r="U25" s="210"/>
      <c r="V25" s="210"/>
      <c r="W25" s="210"/>
    </row>
    <row r="26" spans="1:23" ht="18.75" x14ac:dyDescent="0.25">
      <c r="A26" s="150"/>
      <c r="B26" s="150"/>
      <c r="C26" s="150"/>
      <c r="D26" s="150"/>
      <c r="O26" s="149"/>
      <c r="P26" s="149"/>
      <c r="Q26" s="149"/>
      <c r="R26" s="212"/>
      <c r="S26" s="210"/>
      <c r="T26" s="210"/>
      <c r="U26" s="210"/>
      <c r="V26" s="210"/>
      <c r="W26" s="210"/>
    </row>
    <row r="27" spans="1:23" ht="19.5" thickBot="1" x14ac:dyDescent="0.3">
      <c r="A27" s="150"/>
      <c r="B27" s="150"/>
      <c r="C27" s="150"/>
      <c r="D27" s="150"/>
      <c r="O27" s="149"/>
      <c r="P27" s="149"/>
      <c r="Q27" s="149"/>
      <c r="R27" s="212"/>
      <c r="S27" s="210"/>
      <c r="T27" s="210"/>
      <c r="U27" s="210"/>
      <c r="V27" s="210"/>
      <c r="W27" s="210"/>
    </row>
    <row r="28" spans="1:23" ht="20.25" thickTop="1" thickBot="1" x14ac:dyDescent="0.3">
      <c r="A28" s="150"/>
      <c r="B28" s="150"/>
      <c r="C28" s="150"/>
      <c r="D28" s="150"/>
      <c r="E28" s="149"/>
      <c r="F28" s="149"/>
      <c r="G28" s="149"/>
      <c r="H28" s="149"/>
      <c r="I28" s="149"/>
      <c r="J28" s="238" t="str" cm="1">
        <f t="array" aca="1" ref="J28" ca="1">HYPERLINK($L$31,_xlfn.XLOOKUP("S0T0",INDEX(TranslationTable,0,1),_xlfn.XLOOKUP(lang,Translation!$B$1:$D$1,Translation!B2:D71),"error"))</f>
        <v xml:space="preserve">          back          </v>
      </c>
      <c r="K28" s="239"/>
      <c r="L28" s="135"/>
      <c r="M28" s="238" t="str" cm="1">
        <f t="array" aca="1" ref="M28" ca="1">HYPERLINK($L$30,_xlfn.XLOOKUP("S0T1",INDEX(TranslationTable,0,1),_xlfn.XLOOKUP(lang,Translation!$B$1:$D$1,Translation!B2:D71),"error"))</f>
        <v xml:space="preserve">          next          </v>
      </c>
      <c r="N28" s="239"/>
      <c r="O28" s="149"/>
      <c r="P28" s="149"/>
      <c r="Q28" s="149"/>
      <c r="R28" s="212"/>
      <c r="S28" s="210"/>
      <c r="T28" s="210"/>
      <c r="U28" s="210"/>
      <c r="V28" s="210"/>
      <c r="W28" s="210"/>
    </row>
    <row r="29" spans="1:23" ht="19.5" thickTop="1" x14ac:dyDescent="0.25">
      <c r="A29" s="150"/>
      <c r="B29" s="150"/>
      <c r="C29" s="150"/>
      <c r="D29" s="150"/>
      <c r="E29" s="149"/>
      <c r="F29" s="149"/>
      <c r="G29" s="149"/>
      <c r="H29" s="149"/>
      <c r="I29" s="149"/>
      <c r="J29" s="149"/>
      <c r="K29" s="149"/>
      <c r="L29" s="149"/>
      <c r="M29" s="149"/>
      <c r="N29" s="149"/>
      <c r="O29" s="149"/>
      <c r="P29" s="149"/>
      <c r="Q29" s="149"/>
      <c r="R29" s="212"/>
      <c r="S29" s="210"/>
      <c r="T29" s="210"/>
      <c r="U29" s="210"/>
      <c r="V29" s="210"/>
      <c r="W29" s="210"/>
    </row>
    <row r="30" spans="1:23" x14ac:dyDescent="0.25">
      <c r="A30" s="150"/>
      <c r="B30" s="150"/>
      <c r="C30" s="150"/>
      <c r="D30" s="150"/>
      <c r="E30" s="150"/>
      <c r="F30" s="176"/>
      <c r="G30" s="197" t="str" cm="1">
        <f t="array" aca="1" ref="G30" ca="1">CELL("dateiname",Results!$A$1)</f>
        <v>P:\03_Projekte\270_2021-IntSGHP\03_WP_und_Messungen_Simulationen\Excel_tool\[HeatPump_IntegrationCalculation_Example.xlsx]Results</v>
      </c>
      <c r="H30" s="197" t="str">
        <f ca="1">RIGHT(G30,LEN(G30)-FIND("[",G30)+1)</f>
        <v>[HeatPump_IntegrationCalculation_Example.xlsx]Results</v>
      </c>
      <c r="I30" s="197"/>
      <c r="J30" s="197" t="s">
        <v>1973</v>
      </c>
      <c r="K30" s="197" t="s">
        <v>1974</v>
      </c>
      <c r="L30" s="197" t="str">
        <f ca="1">H30&amp;J30&amp;K30</f>
        <v>[HeatPump_IntegrationCalculation_Example.xlsx]Results!M5</v>
      </c>
      <c r="M30" s="176"/>
      <c r="N30" s="176"/>
      <c r="O30" s="150"/>
      <c r="P30" s="150"/>
      <c r="Q30" s="150"/>
      <c r="R30" s="210"/>
      <c r="S30" s="210"/>
      <c r="T30" s="210"/>
      <c r="U30" s="210"/>
      <c r="V30" s="210"/>
      <c r="W30" s="210"/>
    </row>
    <row r="31" spans="1:23" x14ac:dyDescent="0.25">
      <c r="A31" s="150"/>
      <c r="B31" s="150"/>
      <c r="C31" s="150"/>
      <c r="D31" s="150"/>
      <c r="E31" s="150"/>
      <c r="F31" s="176"/>
      <c r="G31" s="197" t="str" cm="1">
        <f t="array" aca="1" ref="G31" ca="1">CELL("dateiname",Process_info!$A$1)</f>
        <v>P:\03_Projekte\270_2021-IntSGHP\03_WP_und_Messungen_Simulationen\Excel_tool\[HeatPump_IntegrationCalculation_Example.xlsx]Process_info</v>
      </c>
      <c r="H31" s="197" t="str">
        <f ca="1">RIGHT(G31,LEN(G31)-FIND("[",G31)+1)</f>
        <v>[HeatPump_IntegrationCalculation_Example.xlsx]Process_info</v>
      </c>
      <c r="I31" s="197"/>
      <c r="J31" s="197" t="s">
        <v>1973</v>
      </c>
      <c r="K31" s="197" t="s">
        <v>1972</v>
      </c>
      <c r="L31" s="197" t="str">
        <f ca="1">H31&amp;J31&amp;K31</f>
        <v>[HeatPump_IntegrationCalculation_Example.xlsx]Process_info!G7</v>
      </c>
      <c r="M31" s="176"/>
      <c r="N31" s="176"/>
      <c r="O31" s="150"/>
      <c r="P31" s="150"/>
      <c r="Q31" s="150"/>
      <c r="R31" s="150"/>
      <c r="S31" s="210"/>
      <c r="T31" s="210"/>
      <c r="U31" s="210"/>
      <c r="V31" s="210"/>
      <c r="W31" s="210"/>
    </row>
    <row r="32" spans="1:23" hidden="1" x14ac:dyDescent="0.25">
      <c r="A32" s="150"/>
      <c r="B32" s="150"/>
      <c r="C32" s="150"/>
      <c r="D32" s="150"/>
      <c r="E32" s="150"/>
      <c r="F32" s="150"/>
      <c r="G32" s="150"/>
      <c r="H32" s="150"/>
      <c r="I32" s="150"/>
      <c r="J32" s="150"/>
      <c r="K32" s="150"/>
      <c r="L32" s="150"/>
      <c r="M32" s="150"/>
      <c r="N32" s="150"/>
      <c r="O32" s="150"/>
      <c r="P32" s="150"/>
      <c r="Q32" s="150"/>
      <c r="R32" s="150"/>
      <c r="S32" s="150"/>
      <c r="T32" s="150"/>
      <c r="U32" s="150"/>
      <c r="V32" s="150"/>
      <c r="W32" s="150"/>
    </row>
    <row r="33" spans="1:23" hidden="1" x14ac:dyDescent="0.25">
      <c r="A33" s="150"/>
      <c r="B33" s="150"/>
      <c r="C33" s="150"/>
      <c r="D33" s="150"/>
      <c r="E33" s="150"/>
      <c r="F33" s="150"/>
      <c r="G33" s="150"/>
      <c r="H33" s="150"/>
      <c r="I33" s="150"/>
      <c r="J33" s="150"/>
      <c r="K33" s="150"/>
      <c r="L33" s="150"/>
      <c r="M33" s="150"/>
      <c r="N33" s="150"/>
      <c r="O33" s="150"/>
      <c r="P33" s="150"/>
      <c r="Q33" s="150"/>
      <c r="R33" s="150"/>
      <c r="S33" s="150"/>
      <c r="T33" s="150"/>
      <c r="U33" s="150"/>
      <c r="V33" s="150"/>
      <c r="W33" s="150"/>
    </row>
    <row r="34" spans="1:23" hidden="1" x14ac:dyDescent="0.25">
      <c r="A34" s="150"/>
      <c r="B34" s="150"/>
      <c r="C34" s="150"/>
      <c r="D34" s="150"/>
      <c r="E34" s="150"/>
      <c r="F34" s="150"/>
      <c r="G34" s="150"/>
      <c r="H34" s="150"/>
      <c r="I34" s="150"/>
      <c r="J34" s="150"/>
      <c r="K34" s="150"/>
      <c r="L34" s="150"/>
      <c r="M34" s="150"/>
      <c r="N34" s="150"/>
      <c r="O34" s="150"/>
      <c r="P34" s="150"/>
      <c r="Q34" s="150"/>
      <c r="R34" s="150"/>
      <c r="S34" s="150"/>
      <c r="T34" s="150"/>
      <c r="U34" s="150"/>
      <c r="V34" s="150"/>
      <c r="W34" s="150"/>
    </row>
  </sheetData>
  <sheetProtection algorithmName="SHA-512" hashValue="FHuAMvtF4CVG2CMkYpe+BeqxUyXem8bHHB4MT0p81LZ5D2cNlodtmXHzGqDbuTVWI8CLd0jBJ85PXdc3GR7q2g==" saltValue="lIckFPvN0wKrrmZxqlrwEg==" spinCount="100000" sheet="1" objects="1" scenarios="1"/>
  <mergeCells count="23">
    <mergeCell ref="J28:K28"/>
    <mergeCell ref="F4:M4"/>
    <mergeCell ref="E23:K23"/>
    <mergeCell ref="E15:K15"/>
    <mergeCell ref="E17:K17"/>
    <mergeCell ref="M28:N28"/>
    <mergeCell ref="E7:K7"/>
    <mergeCell ref="E9:K9"/>
    <mergeCell ref="E10:K10"/>
    <mergeCell ref="E19:K19"/>
    <mergeCell ref="E13:K13"/>
    <mergeCell ref="E21:K21"/>
    <mergeCell ref="E14:K14"/>
    <mergeCell ref="E22:K22"/>
    <mergeCell ref="E16:K16"/>
    <mergeCell ref="E25:K25"/>
    <mergeCell ref="E20:K20"/>
    <mergeCell ref="E2:Q2"/>
    <mergeCell ref="E6:K6"/>
    <mergeCell ref="I12:K12"/>
    <mergeCell ref="M12:N12"/>
    <mergeCell ref="E11:K11"/>
    <mergeCell ref="E8:K8"/>
  </mergeCells>
  <conditionalFormatting sqref="M9">
    <cfRule type="expression" dxfId="68" priority="17">
      <formula>ISBLANK($P$9)</formula>
    </cfRule>
  </conditionalFormatting>
  <conditionalFormatting sqref="P9">
    <cfRule type="expression" dxfId="67" priority="18">
      <formula>ISBLANK($M$9)</formula>
    </cfRule>
  </conditionalFormatting>
  <conditionalFormatting sqref="A23:Q23 T23:XFD23">
    <cfRule type="expression" dxfId="66" priority="19">
      <formula>replacing</formula>
    </cfRule>
  </conditionalFormatting>
  <conditionalFormatting sqref="P14">
    <cfRule type="expression" dxfId="65" priority="20">
      <formula>ISBLANK($M$14)</formula>
    </cfRule>
  </conditionalFormatting>
  <conditionalFormatting sqref="M14">
    <cfRule type="expression" dxfId="64" priority="21">
      <formula>ISBLANK($P$14)</formula>
    </cfRule>
  </conditionalFormatting>
  <conditionalFormatting sqref="P15">
    <cfRule type="expression" dxfId="63" priority="16">
      <formula>ISBLANK($M$15)</formula>
    </cfRule>
  </conditionalFormatting>
  <conditionalFormatting sqref="M15">
    <cfRule type="expression" dxfId="62" priority="15">
      <formula>ISBLANK($P$15)</formula>
    </cfRule>
  </conditionalFormatting>
  <conditionalFormatting sqref="P16">
    <cfRule type="expression" dxfId="61" priority="14">
      <formula>ISBLANK($M$16)</formula>
    </cfRule>
  </conditionalFormatting>
  <conditionalFormatting sqref="M16">
    <cfRule type="expression" dxfId="60" priority="13">
      <formula>ISBLANK($P$16)</formula>
    </cfRule>
  </conditionalFormatting>
  <conditionalFormatting sqref="P22">
    <cfRule type="expression" dxfId="59" priority="12">
      <formula>ISBLANK($M22)</formula>
    </cfRule>
  </conditionalFormatting>
  <conditionalFormatting sqref="M22">
    <cfRule type="expression" dxfId="58" priority="11">
      <formula>ISBLANK($P22)</formula>
    </cfRule>
  </conditionalFormatting>
  <conditionalFormatting sqref="N9">
    <cfRule type="expression" dxfId="57" priority="10">
      <formula>ISNUMBER($P$9)</formula>
    </cfRule>
  </conditionalFormatting>
  <conditionalFormatting sqref="Q9">
    <cfRule type="expression" dxfId="56" priority="9">
      <formula>ISNUMBER($M$9)</formula>
    </cfRule>
  </conditionalFormatting>
  <conditionalFormatting sqref="N14">
    <cfRule type="expression" dxfId="55" priority="8">
      <formula>ISNUMBER($P$14)</formula>
    </cfRule>
  </conditionalFormatting>
  <conditionalFormatting sqref="Q14">
    <cfRule type="expression" dxfId="54" priority="7">
      <formula>ISNUMBER($M$14)</formula>
    </cfRule>
  </conditionalFormatting>
  <conditionalFormatting sqref="N15">
    <cfRule type="expression" dxfId="53" priority="6">
      <formula>ISNUMBER($P$15)</formula>
    </cfRule>
  </conditionalFormatting>
  <conditionalFormatting sqref="Q15">
    <cfRule type="expression" dxfId="52" priority="5">
      <formula>ISNUMBER($M$15)</formula>
    </cfRule>
  </conditionalFormatting>
  <conditionalFormatting sqref="Q16">
    <cfRule type="expression" dxfId="51" priority="4">
      <formula>ISNUMBER($M$16)</formula>
    </cfRule>
  </conditionalFormatting>
  <conditionalFormatting sqref="N16">
    <cfRule type="expression" dxfId="50" priority="3">
      <formula>ISNUMBER($P$16)</formula>
    </cfRule>
  </conditionalFormatting>
  <conditionalFormatting sqref="N22">
    <cfRule type="expression" dxfId="49" priority="2">
      <formula>ISNUMBER($P$22)</formula>
    </cfRule>
  </conditionalFormatting>
  <conditionalFormatting sqref="Q22">
    <cfRule type="expression" dxfId="48" priority="1">
      <formula>ISNUMBER($M$22)</formula>
    </cfRule>
  </conditionalFormatting>
  <dataValidations count="20">
    <dataValidation type="decimal" allowBlank="1" showInputMessage="1" showErrorMessage="1" sqref="M6 M25" xr:uid="{40B50780-ADBD-4B10-834F-5E6C87653A03}">
      <formula1>0</formula1>
      <formula2>100</formula2>
    </dataValidation>
    <dataValidation type="decimal" allowBlank="1" showInputMessage="1" showErrorMessage="1" sqref="M7" xr:uid="{3A7D338A-CF0B-4036-9DC2-E914CBEDA7E5}">
      <formula1>0</formula1>
      <formula2>10000000</formula2>
    </dataValidation>
    <dataValidation type="custom" showInputMessage="1" showErrorMessage="1" sqref="M9" xr:uid="{B83C1C30-B956-4C81-9ECC-D1627FF4E39A}">
      <formula1>AND(ISBLANK($P$9),$M$9&gt;0)</formula1>
    </dataValidation>
    <dataValidation type="custom" showInputMessage="1" showErrorMessage="1" sqref="P9" xr:uid="{29A899D5-0339-413F-B0E7-687AB3517CCE}">
      <formula1>AND(ISBLANK($M$9),$P$9&gt;0)</formula1>
    </dataValidation>
    <dataValidation type="decimal" allowBlank="1" showInputMessage="1" showErrorMessage="1" sqref="M11" xr:uid="{573E879C-3814-46F2-BC5B-26714139F034}">
      <formula1>0</formula1>
      <formula2>999999</formula2>
    </dataValidation>
    <dataValidation type="whole" allowBlank="1" showInputMessage="1" showErrorMessage="1" sqref="M19" xr:uid="{4C89C168-5F4C-4766-B3CD-30BECC147B60}">
      <formula1>0</formula1>
      <formula2>100</formula2>
    </dataValidation>
    <dataValidation type="whole" allowBlank="1" showInputMessage="1" showErrorMessage="1" prompt="Typically between 10 and 25 years" sqref="M13" xr:uid="{85EDDDD7-B758-4AB5-80C4-D31B473CB21F}">
      <formula1>0</formula1>
      <formula2>100</formula2>
    </dataValidation>
    <dataValidation type="custom" showInputMessage="1" showErrorMessage="1" prompt="Typically around 500'000 EURO/MW" sqref="M14" xr:uid="{5BC5EFF9-377E-47C6-8737-34FFA9C1313B}">
      <formula1>AND(ISBLANK($P$14),$M$14&gt;0)</formula1>
    </dataValidation>
    <dataValidation type="whole" allowBlank="1" showInputMessage="1" showErrorMessage="1" prompt="Typically around 60'000 EURO/MW" sqref="M21" xr:uid="{9CE4F116-F6D7-4657-A7B9-7C271BDEA389}">
      <formula1>0</formula1>
      <formula2>9999999999999990000</formula2>
    </dataValidation>
    <dataValidation type="custom" showInputMessage="1" showErrorMessage="1" prompt="Typically around 3% of CAPEX" sqref="M16" xr:uid="{AC5BF13C-3696-449A-AE8E-05A9653C0818}">
      <formula1>AND($M$16&gt;0,ISBLANK($P$16))</formula1>
    </dataValidation>
    <dataValidation type="whole" allowBlank="1" showInputMessage="1" showErrorMessage="1" sqref="M17" xr:uid="{3A53849F-9C47-4091-9B0A-678560F467E3}">
      <formula1>0</formula1>
      <formula2>9999999999999</formula2>
    </dataValidation>
    <dataValidation type="list" allowBlank="1" showInputMessage="1" showErrorMessage="1" sqref="N17 N21 N15" xr:uid="{62DF86FC-BCBE-4833-B427-0A844C12CEB2}">
      <formula1>$Q$17:$Q$18</formula1>
    </dataValidation>
    <dataValidation type="custom" showInputMessage="1" showErrorMessage="1" sqref="P14" xr:uid="{660F2D77-A089-454A-98EE-21DF747BFA59}">
      <formula1>AND(ISBLANK($M$14),$P$14&gt;0)</formula1>
    </dataValidation>
    <dataValidation type="custom" showInputMessage="1" showErrorMessage="1" prompt="For retrofit typically around 300 EURO/kW, for new installation around 30 EURO/kW" sqref="M15" xr:uid="{732F5C3C-B0D9-47D0-8FD1-AD015AC6CF42}">
      <formula1>AND(ISBLANK($P$15),$M$15&gt;0)</formula1>
    </dataValidation>
    <dataValidation type="custom" showInputMessage="1" showErrorMessage="1" sqref="P16" xr:uid="{9E820255-55C4-471D-AA6A-2332902266A5}">
      <formula1>AND(ISBLANK($M$16),$P$16&gt;0)</formula1>
    </dataValidation>
    <dataValidation type="custom" showInputMessage="1" showErrorMessage="1" prompt="Typically around 3% of CAPEX" sqref="P22" xr:uid="{A4292BA8-3936-4C12-82B3-CD0586D1B2FA}">
      <formula1>AND(ISBLANK($M22),$P22&gt;0)</formula1>
    </dataValidation>
    <dataValidation type="custom" showInputMessage="1" showErrorMessage="1" sqref="M22" xr:uid="{31C4C19A-37CD-48FC-9EF2-9AF6ACBFCA35}">
      <formula1>AND($M22&gt;0,ISBLANK($P22))</formula1>
    </dataValidation>
    <dataValidation type="decimal" allowBlank="1" showInputMessage="1" showErrorMessage="1" prompt="Tipically between 80% and 98%" sqref="M20" xr:uid="{998FAB75-413D-4177-83FD-968718E13C73}">
      <formula1>0</formula1>
      <formula2>100</formula2>
    </dataValidation>
    <dataValidation type="custom" showInputMessage="1" showErrorMessage="1" prompt="For retrofit typically around 50 %, for new installation around 3-10%" sqref="P15" xr:uid="{0C5B191A-60EF-408E-8777-F260C56F940D}">
      <formula1>AND(ISBLANK($M$15),$P$15&gt;0)</formula1>
    </dataValidation>
    <dataValidation type="decimal" allowBlank="1" showInputMessage="1" showErrorMessage="1" prompt="Typically between 0 and 1" sqref="M8" xr:uid="{E47378F8-A91F-472F-B8CD-6B6B99265DA6}">
      <formula1>0</formula1>
      <formula2>10</formula2>
    </dataValidation>
  </dataValidations>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62990-D5CC-4F89-BC41-1CA6D721EC43}">
  <sheetPr codeName="Tabelle1"/>
  <dimension ref="A1:W33"/>
  <sheetViews>
    <sheetView topLeftCell="F1" zoomScaleNormal="100" workbookViewId="0">
      <selection activeCell="M25" sqref="M25:N25"/>
    </sheetView>
  </sheetViews>
  <sheetFormatPr baseColWidth="10" defaultColWidth="0" defaultRowHeight="15" zeroHeight="1" x14ac:dyDescent="0.25"/>
  <cols>
    <col min="1" max="11" width="11.42578125" style="151" customWidth="1"/>
    <col min="12" max="12" width="2.7109375" style="151" customWidth="1"/>
    <col min="13" max="16" width="11.42578125" style="151" customWidth="1"/>
    <col min="17" max="18" width="11.42578125" style="215" customWidth="1"/>
    <col min="19" max="19" width="16.140625" style="215" customWidth="1"/>
    <col min="20" max="23" width="11.42578125" style="215" customWidth="1"/>
    <col min="24" max="16384" width="11.42578125" style="151" hidden="1"/>
  </cols>
  <sheetData>
    <row r="1" spans="1:23" ht="18.75" x14ac:dyDescent="0.25">
      <c r="A1" s="149" t="str" cm="1">
        <f t="array" ref="A1">_xlfn.XLOOKUP("S0T3",INDEX(TranslationTable,0,1),_xlfn.XLOOKUP(lang,Translation!$B$1:$D$1,Translation!B2:D71),"error")</f>
        <v>en</v>
      </c>
      <c r="B1" s="150"/>
      <c r="C1" s="150"/>
      <c r="D1" s="150"/>
      <c r="E1" s="150"/>
      <c r="F1" s="150"/>
      <c r="G1" s="150"/>
      <c r="H1" s="150"/>
      <c r="I1" s="150"/>
      <c r="J1" s="150"/>
      <c r="K1" s="150"/>
      <c r="L1" s="150"/>
      <c r="M1" s="150"/>
      <c r="N1" s="150"/>
      <c r="O1" s="150"/>
      <c r="P1" s="150"/>
      <c r="Q1" s="150"/>
      <c r="R1" s="176"/>
      <c r="S1" s="176"/>
      <c r="T1" s="176"/>
      <c r="U1" s="176"/>
      <c r="V1" s="176"/>
      <c r="W1" s="176"/>
    </row>
    <row r="2" spans="1:23" ht="18.75" x14ac:dyDescent="0.3">
      <c r="A2" s="150"/>
      <c r="B2" s="150"/>
      <c r="C2" s="150"/>
      <c r="D2" s="150"/>
      <c r="E2" s="246" t="str" cm="1">
        <f t="array" ref="E2">_xlfn.XLOOKUP("S4T1",INDEX(TranslationTable,0,1),_xlfn.XLOOKUP(lang,Translation!$B$1:$D$1,Translation!B2:D71),"error")</f>
        <v>Results of the analysis</v>
      </c>
      <c r="F2" s="247"/>
      <c r="G2" s="247"/>
      <c r="H2" s="247"/>
      <c r="I2" s="247"/>
      <c r="J2" s="247"/>
      <c r="K2" s="247"/>
      <c r="L2" s="247"/>
      <c r="M2" s="247"/>
      <c r="N2" s="247"/>
      <c r="O2" s="247"/>
      <c r="P2" s="247"/>
      <c r="Q2" s="248"/>
      <c r="R2" s="176"/>
      <c r="S2" s="176"/>
      <c r="T2" s="176"/>
      <c r="U2" s="176"/>
      <c r="V2" s="176"/>
      <c r="W2" s="176"/>
    </row>
    <row r="3" spans="1:23" ht="18.75" x14ac:dyDescent="0.25">
      <c r="A3" s="150"/>
      <c r="B3" s="150"/>
      <c r="C3" s="150"/>
      <c r="D3" s="150"/>
      <c r="E3" s="149"/>
      <c r="F3" s="149"/>
      <c r="G3" s="149"/>
      <c r="H3" s="149"/>
      <c r="I3" s="149"/>
      <c r="J3" s="149"/>
      <c r="K3" s="149"/>
      <c r="L3" s="149"/>
      <c r="N3" s="149"/>
      <c r="O3" s="149"/>
      <c r="P3" s="149"/>
      <c r="Q3" s="212"/>
      <c r="R3" s="212"/>
      <c r="S3" s="210"/>
      <c r="T3" s="210"/>
      <c r="U3" s="210"/>
      <c r="V3" s="210"/>
      <c r="W3" s="210"/>
    </row>
    <row r="4" spans="1:23" ht="18.75" x14ac:dyDescent="0.25">
      <c r="A4" s="150"/>
      <c r="B4" s="150"/>
      <c r="C4" s="150"/>
      <c r="D4" s="150"/>
      <c r="E4" s="149"/>
      <c r="F4" s="149"/>
      <c r="G4" s="149"/>
      <c r="H4" s="149"/>
      <c r="I4" s="149"/>
      <c r="J4" s="149"/>
      <c r="K4" s="149"/>
      <c r="L4" s="149"/>
      <c r="M4" s="149"/>
      <c r="N4" s="149"/>
      <c r="O4" s="159"/>
      <c r="P4" s="159"/>
      <c r="Q4" s="212"/>
      <c r="R4" s="212"/>
      <c r="S4" s="176" t="s">
        <v>1959</v>
      </c>
      <c r="T4" s="176" t="b">
        <f>replacing</f>
        <v>1</v>
      </c>
      <c r="U4" s="176"/>
      <c r="V4" s="210"/>
      <c r="W4" s="210"/>
    </row>
    <row r="5" spans="1:23" ht="18.75" x14ac:dyDescent="0.25">
      <c r="A5" s="150"/>
      <c r="B5" s="150"/>
      <c r="C5" s="150"/>
      <c r="D5" s="150"/>
      <c r="E5" s="245" t="str" cm="1">
        <f t="array" ref="E5">_xlfn.XLOOKUP("S4T2",INDEX(TranslationTable,0,1),_xlfn.XLOOKUP(lang,Translation!$B$1:$D$1,Translation!B2:D71),"error")</f>
        <v>The payback time is:</v>
      </c>
      <c r="F5" s="245"/>
      <c r="G5" s="245"/>
      <c r="H5" s="245"/>
      <c r="I5" s="245"/>
      <c r="J5" s="245"/>
      <c r="K5" s="245"/>
      <c r="L5" s="158"/>
      <c r="M5" s="254">
        <f>IF($S$5&lt;0,"not possible",$S$5)</f>
        <v>6.1433809555237229</v>
      </c>
      <c r="N5" s="257"/>
      <c r="O5" s="159" t="str" cm="1">
        <f t="array" ref="O5">_xlfn.XLOOKUP("S3T20",INDEX(TranslationTable,0,1),_xlfn.XLOOKUP(lang,Translation!$B$1:$D$1,Translation!B2:D71),"error")</f>
        <v>years</v>
      </c>
      <c r="P5" s="159"/>
      <c r="Q5" s="212"/>
      <c r="R5" s="212"/>
      <c r="S5" s="229">
        <f>IF(NOT(T4),(Finance_info!R14+Finance_info!R15+$S$10-Finance_info!R17-Finance_info!$R$23-Finance_info!R21)/($M$11-$M$10),(Finance_info!R14+Finance_info!R15+$S$10-Finance_info!R17)/($M$11-$M$10))</f>
        <v>6.1433809555237229</v>
      </c>
      <c r="T5" s="176" t="s">
        <v>1208</v>
      </c>
      <c r="U5" s="176"/>
      <c r="V5" s="210"/>
      <c r="W5" s="210"/>
    </row>
    <row r="6" spans="1:23" ht="18.75" x14ac:dyDescent="0.25">
      <c r="A6" s="150"/>
      <c r="B6" s="150"/>
      <c r="C6" s="150"/>
      <c r="D6" s="150"/>
      <c r="E6" s="245" t="str" cm="1">
        <f t="array" ref="E6">_xlfn.XLOOKUP("S4T3",INDEX(TranslationTable,0,1),_xlfn.XLOOKUP(lang,Translation!$B$1:$D$1,Translation!B2:D71),"error")</f>
        <v>The discount payback time is:</v>
      </c>
      <c r="F6" s="245"/>
      <c r="G6" s="245"/>
      <c r="H6" s="245"/>
      <c r="I6" s="245"/>
      <c r="J6" s="245"/>
      <c r="K6" s="245"/>
      <c r="L6" s="149"/>
      <c r="M6" s="254">
        <f>IF($S$9&lt;0,"not possible",$S$9)</f>
        <v>9.9967725431551813</v>
      </c>
      <c r="N6" s="254"/>
      <c r="O6" s="159" t="str" cm="1">
        <f t="array" ref="O6">_xlfn.XLOOKUP("S3T20",INDEX(TranslationTable,0,1),_xlfn.XLOOKUP(lang,Translation!$B$1:$D$1,Translation!B2:D71),"error")</f>
        <v>years</v>
      </c>
      <c r="P6" s="159"/>
      <c r="Q6" s="212"/>
      <c r="R6" s="212"/>
      <c r="S6" s="230">
        <f>Finance_info!$R$11/Finance_info!$M$20*100*Process_info!$G$11</f>
        <v>0</v>
      </c>
      <c r="T6" s="176" t="s">
        <v>1962</v>
      </c>
      <c r="U6" s="176"/>
      <c r="V6" s="210"/>
      <c r="W6" s="210"/>
    </row>
    <row r="7" spans="1:23" ht="18.75" x14ac:dyDescent="0.25">
      <c r="A7" s="150"/>
      <c r="B7" s="150"/>
      <c r="C7" s="150"/>
      <c r="D7" s="150"/>
      <c r="E7" s="245" t="str" cm="1">
        <f t="array" ref="E7">_xlfn.XLOOKUP("S4T4",INDEX(TranslationTable,0,1),_xlfn.XLOOKUP(lang,Translation!$B$1:$D$1,Translation!B2:D71),"error")</f>
        <v>Annualized Return on Investment:</v>
      </c>
      <c r="F7" s="245"/>
      <c r="G7" s="245"/>
      <c r="H7" s="245"/>
      <c r="I7" s="245"/>
      <c r="J7" s="245"/>
      <c r="K7" s="245"/>
      <c r="L7" s="161"/>
      <c r="M7" s="254">
        <f>IF($S$11&lt;0,"not possible",$S$11)</f>
        <v>0.75690491545372662</v>
      </c>
      <c r="N7" s="254"/>
      <c r="O7" s="159" t="s">
        <v>10</v>
      </c>
      <c r="P7" s="159"/>
      <c r="Q7" s="212"/>
      <c r="R7" s="212"/>
      <c r="S7" s="230">
        <f>IF(NOT(T4),(Finance_info!$R$14+Finance_info!$R$15+Results!$S$10-Finance_info!$R$17-Finance_info!$R$21),(Finance_info!$R$14+Finance_info!$R$15+$S$10-Finance_info!$R$17))</f>
        <v>560000</v>
      </c>
      <c r="T7" s="176" t="s">
        <v>1981</v>
      </c>
      <c r="U7" s="176"/>
      <c r="V7" s="210"/>
      <c r="W7" s="210"/>
    </row>
    <row r="8" spans="1:23" ht="18.75" x14ac:dyDescent="0.25">
      <c r="A8" s="150"/>
      <c r="B8" s="150"/>
      <c r="C8" s="150"/>
      <c r="D8" s="150"/>
      <c r="E8" s="253" t="str" cm="1">
        <f t="array" ref="E8">_xlfn.XLOOKUP("S4T5",INDEX(TranslationTable,0,1),_xlfn.XLOOKUP(lang,Translation!$B$1:$D$1,Translation!B2:D71),"error")</f>
        <v>CO2 savings:</v>
      </c>
      <c r="F8" s="253"/>
      <c r="G8" s="253"/>
      <c r="H8" s="253"/>
      <c r="I8" s="253"/>
      <c r="J8" s="253"/>
      <c r="K8" s="253"/>
      <c r="L8" s="161"/>
      <c r="M8" s="258">
        <f>Process_info!$G$11*(co2_emission/Finance_info!$M$20*100-Finance_info!M8/Process_info!$M$18)/1000</f>
        <v>211.73401182836568</v>
      </c>
      <c r="N8" s="258"/>
      <c r="O8" s="159" t="s">
        <v>1983</v>
      </c>
      <c r="P8" s="159"/>
      <c r="Q8" s="220"/>
      <c r="R8" s="212"/>
      <c r="S8" s="230">
        <f>($M$11-$M$10)</f>
        <v>91155.017742548574</v>
      </c>
      <c r="T8" s="176" t="s">
        <v>1980</v>
      </c>
      <c r="U8" s="176"/>
      <c r="V8" s="210"/>
      <c r="W8" s="210"/>
    </row>
    <row r="9" spans="1:23" ht="18.75" x14ac:dyDescent="0.25">
      <c r="A9" s="150"/>
      <c r="B9" s="150"/>
      <c r="C9" s="150"/>
      <c r="D9" s="150"/>
      <c r="P9" s="159"/>
      <c r="Q9" s="212"/>
      <c r="R9" s="212"/>
      <c r="S9" s="229">
        <f>IFERROR(-LN(1-($S$7*Finance_info!$M$25/100/$S$8))/LN(1+Finance_info!$M$25/100),-999)</f>
        <v>9.9967725431551813</v>
      </c>
      <c r="T9" s="176" t="s">
        <v>1963</v>
      </c>
      <c r="U9" s="176"/>
      <c r="V9" s="210"/>
      <c r="W9" s="210"/>
    </row>
    <row r="10" spans="1:23" ht="18.75" x14ac:dyDescent="0.25">
      <c r="A10" s="150"/>
      <c r="B10" s="150"/>
      <c r="C10" s="150"/>
      <c r="D10" s="150"/>
      <c r="E10" s="245" t="str" cm="1">
        <f t="array" ref="E10">_xlfn.XLOOKUP("S4T6",INDEX(TranslationTable,0,1),_xlfn.XLOOKUP(lang,Translation!$B$1:$D$1,Translation!B2:D71),"error")</f>
        <v>HP yearly cost:</v>
      </c>
      <c r="F10" s="245"/>
      <c r="G10" s="245"/>
      <c r="H10" s="245"/>
      <c r="I10" s="245"/>
      <c r="J10" s="245"/>
      <c r="K10" s="245"/>
      <c r="L10" s="149"/>
      <c r="M10" s="259">
        <f>Finance_info!$M$6*Process_info!$G$11/Process_info!$M$18+Finance_info!R16</f>
        <v>171544.98225745143</v>
      </c>
      <c r="N10" s="260"/>
      <c r="O10" s="159" t="str">
        <f>currency&amp;"/annum"</f>
        <v>CHF/annum</v>
      </c>
      <c r="P10" s="159"/>
      <c r="Q10" s="212"/>
      <c r="R10" s="212"/>
      <c r="S10" s="176">
        <f>Finance_info!$M$7+Finance_info!$M$10</f>
        <v>0</v>
      </c>
      <c r="T10" s="176" t="s">
        <v>1977</v>
      </c>
      <c r="U10" s="176"/>
      <c r="V10" s="210"/>
      <c r="W10" s="210"/>
    </row>
    <row r="11" spans="1:23" ht="18.75" x14ac:dyDescent="0.25">
      <c r="A11" s="150"/>
      <c r="B11" s="150"/>
      <c r="C11" s="150"/>
      <c r="D11" s="150"/>
      <c r="E11" s="245" t="str" cm="1">
        <f t="array" ref="E11">_xlfn.XLOOKUP("S4T7",INDEX(TranslationTable,0,1),_xlfn.XLOOKUP(lang,Translation!$B$1:$D$1,Translation!B2:D71),"error")</f>
        <v>Boiler yearly cost:</v>
      </c>
      <c r="F11" s="245"/>
      <c r="G11" s="245"/>
      <c r="H11" s="245"/>
      <c r="I11" s="245"/>
      <c r="J11" s="245"/>
      <c r="K11" s="245"/>
      <c r="L11" s="149"/>
      <c r="M11" s="259">
        <f>Finance_info!$R$9*Process_info!$G$11/(Finance_info!$M$20/100)+Finance_info!$R$22+S6</f>
        <v>262700</v>
      </c>
      <c r="N11" s="259"/>
      <c r="O11" s="159" t="str">
        <f>currency&amp;"/annum"</f>
        <v>CHF/annum</v>
      </c>
      <c r="P11" s="162"/>
      <c r="Q11" s="214"/>
      <c r="R11" s="212"/>
      <c r="S11" s="231">
        <f>100*((1+($S$8)/$S$7)^(1/Finance_info!$M$13)-1)</f>
        <v>0.75690491545372662</v>
      </c>
      <c r="T11" s="176" t="s">
        <v>1982</v>
      </c>
      <c r="U11" s="176"/>
      <c r="V11" s="210"/>
      <c r="W11" s="210"/>
    </row>
    <row r="12" spans="1:23" ht="18.75" x14ac:dyDescent="0.25">
      <c r="A12" s="150"/>
      <c r="B12" s="150"/>
      <c r="C12" s="150"/>
      <c r="D12" s="150"/>
      <c r="E12" s="149"/>
      <c r="F12" s="149"/>
      <c r="G12" s="149"/>
      <c r="H12" s="149"/>
      <c r="I12" s="149"/>
      <c r="J12" s="149"/>
      <c r="K12" s="149"/>
      <c r="L12" s="149"/>
      <c r="M12" s="149"/>
      <c r="N12" s="149"/>
      <c r="O12" s="159"/>
      <c r="P12" s="159"/>
      <c r="Q12" s="212"/>
      <c r="R12" s="212"/>
      <c r="S12" s="176"/>
      <c r="T12" s="176"/>
      <c r="U12" s="176"/>
      <c r="V12" s="210"/>
      <c r="W12" s="210"/>
    </row>
    <row r="13" spans="1:23" ht="18.75" x14ac:dyDescent="0.25">
      <c r="A13" s="150"/>
      <c r="B13" s="150"/>
      <c r="C13" s="150"/>
      <c r="D13" s="150"/>
      <c r="E13" s="149"/>
      <c r="F13" s="149"/>
      <c r="G13" s="212"/>
      <c r="H13" s="212"/>
      <c r="I13" s="212"/>
      <c r="J13" s="212"/>
      <c r="K13" s="212"/>
      <c r="L13" s="212"/>
      <c r="M13" s="212"/>
      <c r="N13" s="212"/>
      <c r="O13" s="212"/>
      <c r="P13" s="212"/>
      <c r="Q13" s="212"/>
      <c r="R13" s="212"/>
      <c r="S13" s="210"/>
      <c r="T13" s="210"/>
      <c r="U13" s="210"/>
      <c r="V13" s="210"/>
      <c r="W13" s="210"/>
    </row>
    <row r="14" spans="1:23" ht="18.75" x14ac:dyDescent="0.25">
      <c r="A14" s="150"/>
      <c r="B14" s="150"/>
      <c r="C14" s="150"/>
      <c r="D14" s="150"/>
      <c r="E14" s="149"/>
      <c r="F14" s="149"/>
      <c r="G14" s="212"/>
      <c r="H14" s="212"/>
      <c r="I14" s="212"/>
      <c r="J14" s="212"/>
      <c r="K14" s="212"/>
      <c r="L14" s="212"/>
      <c r="M14" s="212"/>
      <c r="N14" s="212"/>
      <c r="O14" s="212"/>
      <c r="P14" s="212"/>
      <c r="Q14" s="212"/>
      <c r="R14" s="212"/>
      <c r="S14" s="210"/>
      <c r="T14" s="210"/>
      <c r="U14" s="210"/>
      <c r="V14" s="210"/>
      <c r="W14" s="210"/>
    </row>
    <row r="15" spans="1:23" ht="18.75" x14ac:dyDescent="0.25">
      <c r="A15" s="150"/>
      <c r="B15" s="150"/>
      <c r="C15" s="150"/>
      <c r="D15" s="150"/>
      <c r="E15" s="149"/>
      <c r="F15" s="149"/>
      <c r="G15" s="212"/>
      <c r="H15" s="212"/>
      <c r="I15" s="212"/>
      <c r="J15" s="212"/>
      <c r="K15" s="212"/>
      <c r="L15" s="212"/>
      <c r="M15" s="212"/>
      <c r="N15" s="212"/>
      <c r="O15" s="212"/>
      <c r="P15" s="212"/>
      <c r="Q15" s="212"/>
      <c r="R15" s="212"/>
      <c r="S15" s="210"/>
      <c r="T15" s="210"/>
      <c r="U15" s="210"/>
      <c r="V15" s="210"/>
      <c r="W15" s="210"/>
    </row>
    <row r="16" spans="1:23" ht="18.75" x14ac:dyDescent="0.25">
      <c r="A16" s="150"/>
      <c r="B16" s="150"/>
      <c r="C16" s="150"/>
      <c r="D16" s="150"/>
      <c r="E16" s="149"/>
      <c r="F16" s="149"/>
      <c r="G16" s="212"/>
      <c r="H16" s="212"/>
      <c r="I16" s="212"/>
      <c r="J16" s="212"/>
      <c r="K16" s="212"/>
      <c r="L16" s="212"/>
      <c r="M16" s="212"/>
      <c r="N16" s="212"/>
      <c r="O16" s="212"/>
      <c r="P16" s="210"/>
      <c r="Q16" s="212"/>
      <c r="R16" s="212"/>
      <c r="S16" s="210"/>
      <c r="T16" s="210"/>
      <c r="U16" s="210"/>
      <c r="V16" s="210"/>
      <c r="W16" s="210"/>
    </row>
    <row r="17" spans="1:23" ht="18.75" x14ac:dyDescent="0.25">
      <c r="A17" s="150"/>
      <c r="B17" s="150"/>
      <c r="C17" s="150"/>
      <c r="D17" s="150"/>
      <c r="E17" s="149"/>
      <c r="F17" s="149"/>
      <c r="G17" s="212"/>
      <c r="H17" s="212"/>
      <c r="I17" s="212"/>
      <c r="J17" s="212"/>
      <c r="K17" s="212"/>
      <c r="L17" s="212"/>
      <c r="M17" s="212"/>
      <c r="N17" s="212"/>
      <c r="O17" s="212"/>
      <c r="P17" s="210"/>
      <c r="Q17" s="212"/>
      <c r="R17" s="212"/>
      <c r="S17" s="210"/>
      <c r="T17" s="210"/>
      <c r="U17" s="210"/>
      <c r="V17" s="210"/>
      <c r="W17" s="210"/>
    </row>
    <row r="18" spans="1:23" ht="18.75" x14ac:dyDescent="0.25">
      <c r="A18" s="150"/>
      <c r="B18" s="150"/>
      <c r="C18" s="150"/>
      <c r="D18" s="150"/>
      <c r="E18" s="149"/>
      <c r="F18" s="149"/>
      <c r="G18" s="212"/>
      <c r="H18" s="212"/>
      <c r="I18" s="212"/>
      <c r="J18" s="212"/>
      <c r="K18" s="212"/>
      <c r="L18" s="212"/>
      <c r="M18" s="212"/>
      <c r="N18" s="212"/>
      <c r="O18" s="212"/>
      <c r="P18" s="212"/>
      <c r="Q18" s="212"/>
      <c r="R18" s="212"/>
      <c r="S18" s="210"/>
      <c r="T18" s="210"/>
      <c r="U18" s="210"/>
      <c r="V18" s="210"/>
      <c r="W18" s="210"/>
    </row>
    <row r="19" spans="1:23" ht="18.75" x14ac:dyDescent="0.25">
      <c r="A19" s="150"/>
      <c r="B19" s="150"/>
      <c r="C19" s="150"/>
      <c r="D19" s="150"/>
      <c r="E19" s="149"/>
      <c r="F19" s="149"/>
      <c r="G19" s="212"/>
      <c r="H19" s="212"/>
      <c r="I19" s="212"/>
      <c r="J19" s="212"/>
      <c r="K19" s="212"/>
      <c r="L19" s="212"/>
      <c r="M19" s="212"/>
      <c r="N19" s="212"/>
      <c r="O19" s="212"/>
      <c r="P19" s="212"/>
      <c r="Q19" s="212"/>
      <c r="R19" s="212"/>
      <c r="S19" s="210"/>
      <c r="T19" s="210"/>
      <c r="U19" s="210"/>
      <c r="V19" s="210"/>
      <c r="W19" s="210"/>
    </row>
    <row r="20" spans="1:23" ht="18.75" x14ac:dyDescent="0.25">
      <c r="A20" s="150"/>
      <c r="B20" s="150"/>
      <c r="C20" s="150"/>
      <c r="D20" s="150"/>
      <c r="E20" s="149"/>
      <c r="F20" s="149"/>
      <c r="G20" s="212"/>
      <c r="H20" s="212"/>
      <c r="I20" s="212"/>
      <c r="J20" s="212"/>
      <c r="K20" s="212"/>
      <c r="L20" s="212"/>
      <c r="M20" s="212"/>
      <c r="N20" s="212"/>
      <c r="O20" s="212"/>
      <c r="P20" s="212"/>
      <c r="Q20" s="212"/>
      <c r="R20" s="212"/>
      <c r="S20" s="210"/>
      <c r="T20" s="210"/>
      <c r="U20" s="210"/>
      <c r="V20" s="210"/>
      <c r="W20" s="210"/>
    </row>
    <row r="21" spans="1:23" ht="18.75" x14ac:dyDescent="0.25">
      <c r="A21" s="150"/>
      <c r="B21" s="150"/>
      <c r="C21" s="150"/>
      <c r="D21" s="150"/>
      <c r="E21" s="149"/>
      <c r="F21" s="149"/>
      <c r="G21" s="212"/>
      <c r="H21" s="212"/>
      <c r="I21" s="212"/>
      <c r="J21" s="212"/>
      <c r="K21" s="212"/>
      <c r="L21" s="212"/>
      <c r="M21" s="212"/>
      <c r="N21" s="212"/>
      <c r="O21" s="212"/>
      <c r="P21" s="212"/>
      <c r="Q21" s="212"/>
      <c r="R21" s="212"/>
      <c r="S21" s="210"/>
      <c r="T21" s="210"/>
      <c r="U21" s="210"/>
      <c r="V21" s="210"/>
      <c r="W21" s="210"/>
    </row>
    <row r="22" spans="1:23" ht="18.75" x14ac:dyDescent="0.25">
      <c r="A22" s="150"/>
      <c r="B22" s="150"/>
      <c r="C22" s="150"/>
      <c r="D22" s="150"/>
      <c r="E22" s="149"/>
      <c r="F22" s="149"/>
      <c r="G22" s="149"/>
      <c r="H22" s="149"/>
      <c r="I22" s="149"/>
      <c r="J22" s="149"/>
      <c r="K22" s="149"/>
      <c r="L22" s="149"/>
      <c r="M22" s="149"/>
      <c r="N22" s="149"/>
      <c r="O22" s="149"/>
      <c r="P22" s="149"/>
      <c r="Q22" s="212"/>
      <c r="R22" s="212"/>
      <c r="S22" s="210"/>
      <c r="T22" s="210"/>
      <c r="U22" s="210"/>
      <c r="V22" s="210"/>
      <c r="W22" s="210"/>
    </row>
    <row r="23" spans="1:23" ht="18.75" x14ac:dyDescent="0.25">
      <c r="A23" s="150"/>
      <c r="B23" s="150"/>
      <c r="C23" s="150"/>
      <c r="D23" s="150"/>
      <c r="E23" s="149"/>
      <c r="F23" s="149"/>
      <c r="G23" s="149"/>
      <c r="H23" s="149"/>
      <c r="I23" s="149"/>
      <c r="J23" s="149"/>
      <c r="K23" s="149"/>
      <c r="L23" s="149"/>
      <c r="M23" s="149"/>
      <c r="N23" s="149"/>
      <c r="O23" s="149"/>
      <c r="P23" s="149"/>
      <c r="Q23" s="212"/>
      <c r="R23" s="212"/>
      <c r="S23" s="210"/>
      <c r="T23" s="210"/>
      <c r="U23" s="210"/>
      <c r="V23" s="210"/>
      <c r="W23" s="210"/>
    </row>
    <row r="24" spans="1:23" ht="19.5" thickBot="1" x14ac:dyDescent="0.3">
      <c r="A24" s="150"/>
      <c r="B24" s="150"/>
      <c r="C24" s="150"/>
      <c r="D24" s="150"/>
      <c r="E24" s="149"/>
      <c r="F24" s="149"/>
      <c r="G24" s="149"/>
      <c r="H24" s="149"/>
      <c r="I24" s="149"/>
      <c r="J24" s="149"/>
      <c r="K24" s="149"/>
      <c r="L24" s="149"/>
      <c r="M24" s="149"/>
      <c r="N24" s="149"/>
      <c r="O24" s="149"/>
      <c r="P24" s="149"/>
      <c r="Q24" s="212"/>
      <c r="R24" s="212"/>
      <c r="S24" s="210"/>
      <c r="T24" s="210"/>
      <c r="U24" s="210"/>
      <c r="V24" s="210"/>
      <c r="W24" s="210"/>
    </row>
    <row r="25" spans="1:23" ht="20.25" thickTop="1" thickBot="1" x14ac:dyDescent="0.3">
      <c r="A25" s="150"/>
      <c r="B25" s="150"/>
      <c r="C25" s="150"/>
      <c r="D25" s="150"/>
      <c r="E25" s="149"/>
      <c r="F25" s="149"/>
      <c r="G25" s="149"/>
      <c r="H25" s="149"/>
      <c r="I25" s="149"/>
      <c r="J25" s="238" t="str" cm="1">
        <f t="array" aca="1" ref="J25" ca="1">HYPERLINK($L$27,_xlfn.XLOOKUP("S0T0",INDEX(TranslationTable,0,1),_xlfn.XLOOKUP(lang,Translation!$B$1:$D$1,Translation!B2:D71),"error"))</f>
        <v xml:space="preserve">          back          </v>
      </c>
      <c r="K25" s="239"/>
      <c r="L25" s="149"/>
      <c r="M25" s="255" t="str" cm="1">
        <f t="array" aca="1" ref="M25" ca="1">IF(ISNUMBER(M5),HYPERLINK($L$28,_xlfn.XLOOKUP("S0T2",INDEX(TranslationTable,0,1),_xlfn.XLOOKUP(lang,Translation!$B$1:$D$1,Translation!B2:D71),"error")),"")</f>
        <v xml:space="preserve">        more info        </v>
      </c>
      <c r="N25" s="256"/>
      <c r="O25" s="149"/>
      <c r="P25" s="149"/>
      <c r="Q25" s="212"/>
      <c r="R25" s="212"/>
      <c r="S25" s="210"/>
      <c r="T25" s="210"/>
      <c r="U25" s="210"/>
      <c r="V25" s="210"/>
      <c r="W25" s="210"/>
    </row>
    <row r="26" spans="1:23" ht="19.5" thickTop="1" x14ac:dyDescent="0.25">
      <c r="A26" s="150"/>
      <c r="B26" s="150"/>
      <c r="C26" s="150"/>
      <c r="D26" s="150"/>
      <c r="E26" s="149"/>
      <c r="F26" s="149"/>
      <c r="G26" s="179"/>
      <c r="H26" s="179"/>
      <c r="I26" s="179"/>
      <c r="J26" s="179"/>
      <c r="K26" s="179"/>
      <c r="L26" s="179"/>
      <c r="M26" s="179"/>
      <c r="N26" s="179"/>
      <c r="O26" s="179"/>
      <c r="P26" s="179"/>
      <c r="Q26" s="212"/>
      <c r="R26" s="212"/>
      <c r="S26" s="210"/>
      <c r="T26" s="210"/>
      <c r="U26" s="210"/>
      <c r="V26" s="210"/>
      <c r="W26" s="210"/>
    </row>
    <row r="27" spans="1:23" x14ac:dyDescent="0.25">
      <c r="A27" s="150"/>
      <c r="B27" s="150"/>
      <c r="C27" s="150"/>
      <c r="D27" s="150"/>
      <c r="E27" s="150"/>
      <c r="F27" s="176"/>
      <c r="G27" s="197" t="str" cm="1">
        <f t="array" aca="1" ref="G27" ca="1">CELL("dateiname",Finance_info!A1)</f>
        <v>P:\03_Projekte\270_2021-IntSGHP\03_WP_und_Messungen_Simulationen\Excel_tool\[HeatPump_IntegrationCalculation_Example.xlsx]Finance_info</v>
      </c>
      <c r="H27" s="197" t="str">
        <f ca="1">RIGHT(G27,LEN(G27)-FIND("[",G27)+1)</f>
        <v>[HeatPump_IntegrationCalculation_Example.xlsx]Finance_info</v>
      </c>
      <c r="I27" s="197"/>
      <c r="J27" s="197" t="s">
        <v>1973</v>
      </c>
      <c r="K27" s="197" t="s">
        <v>1975</v>
      </c>
      <c r="L27" s="197" t="str">
        <f ca="1">H27&amp;J27&amp;K27</f>
        <v>[HeatPump_IntegrationCalculation_Example.xlsx]Finance_info!M6</v>
      </c>
      <c r="M27" s="176"/>
      <c r="N27" s="176"/>
      <c r="O27" s="176"/>
      <c r="P27" s="178"/>
      <c r="Q27" s="210"/>
      <c r="R27" s="210"/>
      <c r="S27" s="210"/>
      <c r="T27" s="210"/>
      <c r="U27" s="210"/>
      <c r="V27" s="210"/>
      <c r="W27" s="210"/>
    </row>
    <row r="28" spans="1:23" x14ac:dyDescent="0.25">
      <c r="A28" s="150"/>
      <c r="B28" s="150"/>
      <c r="C28" s="150"/>
      <c r="D28" s="150"/>
      <c r="E28" s="150"/>
      <c r="F28" s="176"/>
      <c r="G28" s="197" t="str" cm="1">
        <f t="array" aca="1" ref="G28" ca="1">CELL("dateiname",Report!$A$1)</f>
        <v>P:\03_Projekte\270_2021-IntSGHP\03_WP_und_Messungen_Simulationen\Excel_tool\[HeatPump_IntegrationCalculation_Example.xlsx]Report</v>
      </c>
      <c r="H28" s="197" t="str">
        <f ca="1">RIGHT(G28,LEN(G28)-FIND("[",G28)+1)</f>
        <v>[HeatPump_IntegrationCalculation_Example.xlsx]Report</v>
      </c>
      <c r="I28" s="197"/>
      <c r="J28" s="197" t="s">
        <v>1973</v>
      </c>
      <c r="K28" s="197" t="s">
        <v>1976</v>
      </c>
      <c r="L28" s="197" t="str">
        <f ca="1">H28&amp;J28&amp;K28</f>
        <v>[HeatPump_IntegrationCalculation_Example.xlsx]Report!B2</v>
      </c>
      <c r="M28" s="176"/>
      <c r="N28" s="176"/>
      <c r="O28" s="176"/>
      <c r="P28" s="178"/>
      <c r="Q28" s="210"/>
      <c r="R28" s="210"/>
      <c r="S28" s="210"/>
      <c r="T28" s="210"/>
      <c r="U28" s="210"/>
      <c r="V28" s="210"/>
      <c r="W28" s="210"/>
    </row>
    <row r="29" spans="1:23" hidden="1" x14ac:dyDescent="0.25">
      <c r="A29" s="150"/>
      <c r="B29" s="150"/>
      <c r="C29" s="150"/>
      <c r="D29" s="150"/>
      <c r="E29" s="150"/>
      <c r="F29" s="150"/>
      <c r="G29" s="178"/>
      <c r="H29" s="178"/>
      <c r="I29" s="178"/>
      <c r="J29" s="178"/>
      <c r="K29" s="178"/>
      <c r="L29" s="178"/>
      <c r="M29" s="178"/>
      <c r="N29" s="178"/>
      <c r="O29" s="178"/>
      <c r="P29" s="178"/>
      <c r="Q29" s="210"/>
      <c r="R29" s="210"/>
      <c r="S29" s="210"/>
      <c r="T29" s="210"/>
      <c r="U29" s="210"/>
      <c r="V29" s="210"/>
      <c r="W29" s="210"/>
    </row>
    <row r="30" spans="1:23" hidden="1" x14ac:dyDescent="0.25">
      <c r="A30" s="150"/>
      <c r="B30" s="150"/>
      <c r="C30" s="150"/>
      <c r="D30" s="150"/>
      <c r="E30" s="150"/>
      <c r="F30" s="150"/>
      <c r="G30" s="178"/>
      <c r="H30" s="178"/>
      <c r="I30" s="178"/>
      <c r="J30" s="178"/>
      <c r="K30" s="178"/>
      <c r="L30" s="178"/>
      <c r="M30" s="178"/>
      <c r="N30" s="178"/>
      <c r="O30" s="178"/>
      <c r="P30" s="178"/>
      <c r="Q30" s="210"/>
      <c r="R30" s="210"/>
      <c r="S30" s="210"/>
      <c r="T30" s="210"/>
      <c r="U30" s="210"/>
      <c r="V30" s="210"/>
      <c r="W30" s="210"/>
    </row>
    <row r="31" spans="1:23" hidden="1" x14ac:dyDescent="0.25">
      <c r="A31" s="150"/>
      <c r="B31" s="150"/>
      <c r="C31" s="150"/>
      <c r="D31" s="150"/>
      <c r="E31" s="150"/>
      <c r="F31" s="150"/>
      <c r="G31" s="178"/>
      <c r="H31" s="178"/>
      <c r="I31" s="178"/>
      <c r="J31" s="178"/>
      <c r="K31" s="178"/>
      <c r="L31" s="178"/>
      <c r="M31" s="178"/>
      <c r="N31" s="178"/>
      <c r="O31" s="178"/>
      <c r="P31" s="178"/>
      <c r="Q31" s="210"/>
      <c r="R31" s="210"/>
      <c r="S31" s="210"/>
      <c r="T31" s="210"/>
      <c r="U31" s="210"/>
      <c r="V31" s="210"/>
      <c r="W31" s="210"/>
    </row>
    <row r="32" spans="1:23" hidden="1" x14ac:dyDescent="0.25">
      <c r="G32" s="180"/>
      <c r="H32" s="180"/>
      <c r="I32" s="180"/>
      <c r="J32" s="180"/>
      <c r="K32" s="180"/>
      <c r="L32" s="180"/>
      <c r="M32" s="180"/>
      <c r="N32" s="180"/>
      <c r="O32" s="180"/>
      <c r="P32" s="180"/>
    </row>
    <row r="33" spans="7:16" hidden="1" x14ac:dyDescent="0.25">
      <c r="G33" s="180"/>
      <c r="H33" s="180"/>
      <c r="I33" s="180"/>
      <c r="J33" s="180"/>
      <c r="K33" s="180"/>
      <c r="L33" s="180"/>
      <c r="M33" s="180"/>
      <c r="N33" s="180"/>
      <c r="O33" s="180"/>
      <c r="P33" s="180"/>
    </row>
  </sheetData>
  <sheetProtection algorithmName="SHA-512" hashValue="yFsMT20RTdGxGrZfDVlDQ+Xy6WssbWZavni0AAT+NtPtN/WkNxg4Y9ZTyMkoHc9VHLN25hTovqPWjuph4aHU0Q==" saltValue="AZg8pFv7UcFFGZEF69cCVw==" spinCount="100000" sheet="1" objects="1" scenarios="1"/>
  <mergeCells count="15">
    <mergeCell ref="E8:K8"/>
    <mergeCell ref="E2:Q2"/>
    <mergeCell ref="E6:K6"/>
    <mergeCell ref="M6:N6"/>
    <mergeCell ref="J25:K25"/>
    <mergeCell ref="M25:N25"/>
    <mergeCell ref="E5:K5"/>
    <mergeCell ref="M5:N5"/>
    <mergeCell ref="M8:N8"/>
    <mergeCell ref="E10:K10"/>
    <mergeCell ref="M10:N10"/>
    <mergeCell ref="E7:K7"/>
    <mergeCell ref="M7:N7"/>
    <mergeCell ref="E11:K11"/>
    <mergeCell ref="M11:N11"/>
  </mergeCells>
  <conditionalFormatting sqref="M25:N25">
    <cfRule type="expression" dxfId="47" priority="2">
      <formula>NOT(ISNUMBER(M5))</formula>
    </cfRule>
  </conditionalFormatting>
  <pageMargins left="0.7" right="0.7" top="0.78740157499999996" bottom="0.78740157499999996" header="0.3" footer="0.3"/>
  <pageSetup paperSize="9" orientation="portrait" verticalDpi="0" r:id="rId1"/>
  <ignoredErrors>
    <ignoredError sqref="M2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A131C-EED2-4606-A47A-3303352A11C3}">
  <sheetPr codeName="Tabelle22"/>
  <dimension ref="A1:T43"/>
  <sheetViews>
    <sheetView zoomScale="85" zoomScaleNormal="85" workbookViewId="0">
      <selection activeCell="B2" sqref="B2"/>
    </sheetView>
  </sheetViews>
  <sheetFormatPr baseColWidth="10" defaultColWidth="0" defaultRowHeight="18" customHeight="1" zeroHeight="1" x14ac:dyDescent="0.25"/>
  <cols>
    <col min="1" max="1" width="8.7109375" style="198" customWidth="1"/>
    <col min="2" max="3" width="10.7109375" style="198" customWidth="1"/>
    <col min="4" max="4" width="14" style="151" customWidth="1"/>
    <col min="5" max="5" width="8.42578125" style="151" customWidth="1"/>
    <col min="6" max="6" width="10.7109375" style="151" customWidth="1"/>
    <col min="7" max="7" width="10.140625" style="151" customWidth="1"/>
    <col min="8" max="8" width="12.28515625" style="151" customWidth="1"/>
    <col min="9" max="9" width="10.7109375" style="151" hidden="1" customWidth="1"/>
    <col min="10" max="10" width="11.42578125" style="151" hidden="1" customWidth="1"/>
    <col min="11" max="20" width="10.7109375" style="151" hidden="1" customWidth="1"/>
    <col min="21" max="16384" width="11.42578125" style="151" hidden="1"/>
  </cols>
  <sheetData>
    <row r="1" spans="1:20" ht="18" customHeight="1" x14ac:dyDescent="0.25">
      <c r="A1" s="168" t="str" cm="1">
        <f t="array" ref="A1">_xlfn.XLOOKUP("S0T3",INDEX(TranslationTable,0,1),_xlfn.XLOOKUP(lang,Translation!$B$1:$D$1,Translation!B2:D71),"error")</f>
        <v>en</v>
      </c>
      <c r="B1" s="168"/>
      <c r="C1" s="168"/>
      <c r="D1" s="168"/>
      <c r="E1" s="168"/>
      <c r="F1" s="168"/>
      <c r="G1" s="168"/>
      <c r="H1" s="168"/>
      <c r="I1" s="150"/>
      <c r="J1" s="150"/>
      <c r="K1" s="150"/>
      <c r="L1" s="150"/>
      <c r="M1" s="150"/>
      <c r="N1" s="150"/>
      <c r="O1" s="150"/>
      <c r="P1" s="150"/>
      <c r="Q1" s="150"/>
      <c r="R1" s="150"/>
      <c r="S1" s="150"/>
      <c r="T1" s="150"/>
    </row>
    <row r="2" spans="1:20" s="164" customFormat="1" ht="18" customHeight="1" x14ac:dyDescent="0.3">
      <c r="A2" s="168"/>
      <c r="I2" s="167"/>
      <c r="J2" s="167"/>
      <c r="K2" s="167"/>
      <c r="L2" s="167"/>
      <c r="M2" s="167"/>
      <c r="N2" s="167"/>
      <c r="O2" s="166"/>
      <c r="P2" s="166"/>
      <c r="Q2" s="166"/>
      <c r="R2" s="166"/>
      <c r="S2" s="166"/>
      <c r="T2" s="166"/>
    </row>
    <row r="3" spans="1:20" ht="18" customHeight="1" x14ac:dyDescent="0.3">
      <c r="A3" s="168"/>
      <c r="B3" s="265" t="str" cm="1">
        <f t="array" ref="B3">_xlfn.XLOOKUP("S5T1",INDEX(TranslationTable,0,1),_xlfn.XLOOKUP(lang,Translation!$B$1:$D$1,Translation!B2:D71),"error")</f>
        <v>Information on replacing a boiler by a heat pump</v>
      </c>
      <c r="C3" s="265"/>
      <c r="D3" s="265"/>
      <c r="E3" s="265"/>
      <c r="F3" s="265"/>
      <c r="G3" s="265"/>
      <c r="I3" s="149"/>
      <c r="K3" s="149"/>
      <c r="L3" s="149"/>
      <c r="M3" s="149"/>
      <c r="N3" s="149"/>
      <c r="O3" s="149"/>
      <c r="P3" s="150"/>
      <c r="Q3" s="150"/>
      <c r="R3" s="150"/>
      <c r="S3" s="150"/>
      <c r="T3" s="150"/>
    </row>
    <row r="4" spans="1:20" ht="18" customHeight="1" x14ac:dyDescent="0.25">
      <c r="A4" s="168"/>
      <c r="B4" s="168"/>
      <c r="C4" s="168"/>
      <c r="D4" s="168"/>
      <c r="E4" s="168"/>
      <c r="F4" s="168"/>
      <c r="G4" s="168"/>
      <c r="H4" s="168"/>
      <c r="I4" s="149"/>
      <c r="J4" s="149"/>
      <c r="K4" s="149"/>
      <c r="L4" s="159"/>
      <c r="M4" s="159"/>
      <c r="N4" s="159"/>
      <c r="O4" s="159"/>
      <c r="R4" s="150"/>
      <c r="S4" s="150"/>
      <c r="T4" s="150"/>
    </row>
    <row r="5" spans="1:20" ht="18" customHeight="1" x14ac:dyDescent="0.25">
      <c r="A5" s="168"/>
      <c r="B5" s="264" t="str" cm="1">
        <f t="array" ref="B5">_xlfn.XLOOKUP("S5T2",INDEX(TranslationTable,0,1),_xlfn.XLOOKUP(lang,Translation!$B$1:$D$1,Translation!B2:D71),"error")</f>
        <v>The payback time is 6.1 years. The discount payback time is 10 years. The annualized return on investment is 0.76 %.</v>
      </c>
      <c r="C5" s="264"/>
      <c r="D5" s="264"/>
      <c r="E5" s="264"/>
      <c r="F5" s="264"/>
      <c r="I5" s="159"/>
      <c r="N5" s="159"/>
      <c r="O5" s="159"/>
      <c r="R5" s="150"/>
      <c r="S5" s="150"/>
      <c r="T5" s="150"/>
    </row>
    <row r="6" spans="1:20" ht="18" customHeight="1" x14ac:dyDescent="0.25">
      <c r="A6" s="168"/>
      <c r="B6" s="264"/>
      <c r="C6" s="264"/>
      <c r="D6" s="264"/>
      <c r="E6" s="264"/>
      <c r="F6" s="264"/>
      <c r="I6" s="159"/>
      <c r="N6" s="159"/>
      <c r="O6" s="159"/>
      <c r="P6" s="160"/>
      <c r="Q6" s="150"/>
      <c r="R6" s="150"/>
      <c r="S6" s="150"/>
      <c r="T6" s="150"/>
    </row>
    <row r="7" spans="1:20" ht="23.25" customHeight="1" x14ac:dyDescent="0.25">
      <c r="A7" s="168"/>
      <c r="B7" s="264"/>
      <c r="C7" s="264"/>
      <c r="D7" s="264"/>
      <c r="E7" s="264"/>
      <c r="F7" s="264"/>
      <c r="I7" s="159"/>
      <c r="N7" s="159"/>
      <c r="O7" s="159"/>
      <c r="P7" s="160"/>
      <c r="Q7" s="150"/>
      <c r="R7" s="150"/>
      <c r="S7" s="150"/>
      <c r="T7" s="150"/>
    </row>
    <row r="8" spans="1:20" ht="18" customHeight="1" x14ac:dyDescent="0.25">
      <c r="A8" s="168"/>
      <c r="B8" s="269" t="str" cm="1">
        <f t="array" ref="B8">_xlfn.XLOOKUP("S5T3",INDEX(TranslationTable,0,1),_xlfn.XLOOKUP(lang,Translation!$B$1:$D$1,Translation!B2:D71),"error")</f>
        <v>The CO2 savings are 212 tons per year.</v>
      </c>
      <c r="C8" s="269"/>
      <c r="D8" s="269"/>
      <c r="E8" s="269"/>
      <c r="F8" s="269"/>
      <c r="I8" s="159"/>
      <c r="N8" s="159"/>
      <c r="O8" s="159"/>
      <c r="P8" s="160"/>
      <c r="Q8" s="150"/>
      <c r="R8" s="150"/>
      <c r="S8" s="150"/>
      <c r="T8" s="150"/>
    </row>
    <row r="9" spans="1:20" ht="18" customHeight="1" x14ac:dyDescent="0.25">
      <c r="A9" s="168"/>
      <c r="B9" s="269"/>
      <c r="C9" s="269"/>
      <c r="D9" s="269"/>
      <c r="E9" s="269"/>
      <c r="F9" s="269"/>
      <c r="I9" s="159"/>
      <c r="N9" s="159"/>
      <c r="O9" s="159"/>
      <c r="P9" s="160"/>
      <c r="Q9" s="150"/>
      <c r="R9" s="150"/>
      <c r="S9" s="150"/>
      <c r="T9" s="150"/>
    </row>
    <row r="10" spans="1:20" ht="12" customHeight="1" x14ac:dyDescent="0.25">
      <c r="A10" s="168"/>
      <c r="B10" s="196"/>
      <c r="C10" s="196"/>
      <c r="D10" s="196"/>
      <c r="E10" s="196"/>
      <c r="F10" s="196"/>
      <c r="I10" s="159"/>
      <c r="N10" s="159"/>
      <c r="O10" s="159"/>
      <c r="P10" s="160"/>
      <c r="Q10" s="150"/>
      <c r="R10" s="150"/>
      <c r="S10" s="150"/>
      <c r="T10" s="150"/>
    </row>
    <row r="11" spans="1:20" ht="18" customHeight="1" x14ac:dyDescent="0.25">
      <c r="A11" s="168"/>
      <c r="B11" s="262" t="str" cm="1">
        <f t="array" ref="B11">_xlfn.XLOOKUP("S5T4",INDEX(TranslationTable,0,1),_xlfn.XLOOKUP(lang,Translation!$B$1:$D$1,Translation!B2:D71),"error")</f>
        <v>Heat pump information:</v>
      </c>
      <c r="C11" s="262"/>
      <c r="D11" s="262"/>
      <c r="E11" s="184"/>
      <c r="F11" s="183"/>
      <c r="I11" s="159"/>
      <c r="N11" s="159"/>
      <c r="O11" s="159"/>
      <c r="P11" s="160"/>
      <c r="Q11" s="150"/>
      <c r="R11" s="150"/>
      <c r="S11" s="150"/>
      <c r="T11" s="150"/>
    </row>
    <row r="12" spans="1:20" ht="18" customHeight="1" x14ac:dyDescent="0.25">
      <c r="A12" s="168"/>
      <c r="B12" s="261" t="str" cm="1">
        <f t="array" ref="B12">_xlfn.XLOOKUP("S5T5",INDEX(TranslationTable,0,1),_xlfn.XLOOKUP(lang,Translation!$B$1:$D$1,Translation!B2:D71),"error")</f>
        <v>Heat pump price:</v>
      </c>
      <c r="C12" s="261"/>
      <c r="D12" s="261"/>
      <c r="E12" s="185">
        <f>Finance_info!$R$14</f>
        <v>600000</v>
      </c>
      <c r="F12" s="183" t="str">
        <f>currency</f>
        <v>CHF</v>
      </c>
      <c r="I12" s="159"/>
      <c r="N12" s="163"/>
      <c r="O12" s="159"/>
      <c r="P12" s="160"/>
      <c r="Q12" s="150"/>
      <c r="R12" s="150"/>
      <c r="S12" s="150"/>
      <c r="T12" s="150"/>
    </row>
    <row r="13" spans="1:20" ht="18" customHeight="1" x14ac:dyDescent="0.25">
      <c r="A13" s="168"/>
      <c r="B13" s="261" t="str" cm="1">
        <f t="array" ref="B13">_xlfn.XLOOKUP("S5T6",INDEX(TranslationTable,0,1),_xlfn.XLOOKUP(lang,Translation!$B$1:$D$1,Translation!B2:D71),"error")</f>
        <v>Heat pump installation:</v>
      </c>
      <c r="C13" s="261"/>
      <c r="D13" s="261"/>
      <c r="E13" s="186">
        <f>Finance_info!$R$15</f>
        <v>60000</v>
      </c>
      <c r="F13" s="187" t="str">
        <f>currency</f>
        <v>CHF</v>
      </c>
      <c r="I13" s="159" t="s">
        <v>1956</v>
      </c>
      <c r="N13" s="159"/>
      <c r="O13" s="159"/>
      <c r="P13" s="160"/>
      <c r="Q13" s="150"/>
      <c r="R13" s="150"/>
      <c r="S13" s="150"/>
      <c r="T13" s="150"/>
    </row>
    <row r="14" spans="1:20" ht="18" customHeight="1" x14ac:dyDescent="0.25">
      <c r="A14" s="168"/>
      <c r="B14" s="261" t="str" cm="1">
        <f t="array" ref="B14">_xlfn.XLOOKUP("S5T7",INDEX(TranslationTable,0,1),_xlfn.XLOOKUP(lang,Translation!$B$1:$D$1,Translation!B2:D71),"error")</f>
        <v>Heat pump subsidies:</v>
      </c>
      <c r="C14" s="261"/>
      <c r="D14" s="261"/>
      <c r="E14" s="188">
        <f>Finance_info!$R$17</f>
        <v>100000</v>
      </c>
      <c r="F14" s="187" t="str">
        <f>currency</f>
        <v>CHF</v>
      </c>
      <c r="I14" s="159"/>
      <c r="N14" s="159"/>
      <c r="O14" s="159"/>
      <c r="P14" s="160"/>
      <c r="Q14" s="150"/>
      <c r="R14" s="150"/>
      <c r="S14" s="150"/>
      <c r="T14" s="150"/>
    </row>
    <row r="15" spans="1:20" ht="18" customHeight="1" x14ac:dyDescent="0.25">
      <c r="A15" s="168"/>
      <c r="B15" s="261" t="str" cm="1">
        <f t="array" ref="B15">_xlfn.XLOOKUP("S5T8",INDEX(TranslationTable,0,1),_xlfn.XLOOKUP(lang,Translation!$B$1:$D$1,Translation!B2:D71),"error")</f>
        <v>Heat pump CAPEX:</v>
      </c>
      <c r="C15" s="261"/>
      <c r="D15" s="261"/>
      <c r="E15" s="192">
        <f>$E$12+$E$13-$E$14</f>
        <v>560000</v>
      </c>
      <c r="F15" s="195" t="str">
        <f>currency</f>
        <v>CHF</v>
      </c>
      <c r="I15" s="159"/>
      <c r="N15" s="159"/>
      <c r="O15" s="159"/>
      <c r="P15" s="160"/>
      <c r="Q15" s="150"/>
      <c r="R15" s="150"/>
      <c r="S15" s="150"/>
      <c r="T15" s="150"/>
    </row>
    <row r="16" spans="1:20" ht="18" customHeight="1" x14ac:dyDescent="0.25">
      <c r="A16" s="168"/>
      <c r="B16" s="189"/>
      <c r="C16" s="189"/>
      <c r="D16" s="189"/>
      <c r="E16" s="186"/>
      <c r="F16" s="187"/>
      <c r="I16" s="159"/>
      <c r="N16" s="159"/>
      <c r="O16" s="159"/>
      <c r="P16" s="160"/>
      <c r="Q16" s="150"/>
      <c r="R16" s="150"/>
      <c r="S16" s="150"/>
      <c r="T16" s="150"/>
    </row>
    <row r="17" spans="1:20" ht="18" customHeight="1" x14ac:dyDescent="0.25">
      <c r="A17" s="168"/>
      <c r="B17" s="261" t="str" cm="1">
        <f t="array" ref="B17">_xlfn.XLOOKUP("S5T9",INDEX(TranslationTable,0,1),_xlfn.XLOOKUP(lang,Translation!$B$1:$D$1,Translation!B2:D71),"error")</f>
        <v>Heat pump electricity cost:</v>
      </c>
      <c r="C17" s="261"/>
      <c r="D17" s="261"/>
      <c r="E17" s="186">
        <f>Finance_info!$M$6*Process_info!$G$11/Process_info!$M$18</f>
        <v>153544.98225745143</v>
      </c>
      <c r="F17" s="183" t="str">
        <f>currency&amp;"/annum"</f>
        <v>CHF/annum</v>
      </c>
      <c r="G17" s="168"/>
      <c r="H17" s="169"/>
      <c r="I17" s="149"/>
      <c r="J17" s="149"/>
      <c r="K17" s="149"/>
      <c r="L17" s="159"/>
      <c r="M17" s="162"/>
      <c r="N17" s="162"/>
      <c r="O17" s="159"/>
      <c r="P17" s="160"/>
      <c r="Q17" s="150"/>
      <c r="R17" s="150"/>
      <c r="S17" s="150"/>
      <c r="T17" s="150"/>
    </row>
    <row r="18" spans="1:20" ht="18" customHeight="1" x14ac:dyDescent="0.25">
      <c r="A18" s="168"/>
      <c r="B18" s="261" t="str" cm="1">
        <f t="array" ref="B18">_xlfn.XLOOKUP("S5T10",INDEX(TranslationTable,0,1),_xlfn.XLOOKUP(lang,Translation!$B$1:$D$1,Translation!B2:D71),"error")</f>
        <v>Heat pump maintenance:</v>
      </c>
      <c r="C18" s="261"/>
      <c r="D18" s="261"/>
      <c r="E18" s="188">
        <f>Finance_info!$R$16</f>
        <v>18000</v>
      </c>
      <c r="F18" s="183" t="str">
        <f>currency&amp;"/annum"</f>
        <v>CHF/annum</v>
      </c>
      <c r="G18" s="168"/>
      <c r="H18" s="169"/>
      <c r="I18" s="149"/>
      <c r="J18" s="149"/>
      <c r="K18" s="149"/>
      <c r="L18" s="159"/>
      <c r="M18" s="159"/>
      <c r="N18" s="159"/>
      <c r="O18" s="159"/>
      <c r="P18" s="160"/>
      <c r="Q18" s="150"/>
      <c r="R18" s="150"/>
      <c r="S18" s="150"/>
      <c r="T18" s="150"/>
    </row>
    <row r="19" spans="1:20" ht="18" customHeight="1" x14ac:dyDescent="0.25">
      <c r="A19" s="168"/>
      <c r="B19" s="261" t="str" cm="1">
        <f t="array" ref="B19">_xlfn.XLOOKUP("S5T11",INDEX(TranslationTable,0,1),_xlfn.XLOOKUP(lang,Translation!$B$1:$D$1,Translation!B2:D71),"error")</f>
        <v>Heat pump yearly cost:</v>
      </c>
      <c r="C19" s="261"/>
      <c r="D19" s="261"/>
      <c r="E19" s="193">
        <f>Results!$M$10</f>
        <v>171544.98225745143</v>
      </c>
      <c r="F19" s="194" t="str">
        <f>currency&amp;"/annum"</f>
        <v>CHF/annum</v>
      </c>
      <c r="G19" s="168"/>
      <c r="H19" s="168"/>
      <c r="I19" s="149"/>
      <c r="J19" s="149"/>
      <c r="K19" s="149"/>
      <c r="L19" s="159"/>
      <c r="M19" s="159"/>
      <c r="N19" s="159"/>
      <c r="O19" s="159"/>
      <c r="P19" s="160"/>
      <c r="Q19" s="150"/>
      <c r="R19" s="150"/>
      <c r="S19" s="150"/>
      <c r="T19" s="150"/>
    </row>
    <row r="20" spans="1:20" ht="18" customHeight="1" x14ac:dyDescent="0.25">
      <c r="A20" s="168"/>
      <c r="B20" s="189"/>
      <c r="C20" s="189"/>
      <c r="D20" s="189"/>
      <c r="E20" s="191"/>
      <c r="F20" s="183"/>
      <c r="G20" s="168"/>
      <c r="H20" s="168"/>
      <c r="I20" s="149"/>
      <c r="J20" s="149"/>
      <c r="K20" s="149"/>
      <c r="L20" s="159"/>
      <c r="M20" s="159"/>
      <c r="N20" s="159"/>
      <c r="O20" s="159"/>
      <c r="P20" s="160"/>
      <c r="Q20" s="150"/>
      <c r="R20" s="150"/>
      <c r="S20" s="150"/>
      <c r="T20" s="150"/>
    </row>
    <row r="21" spans="1:20" ht="18" customHeight="1" x14ac:dyDescent="0.25">
      <c r="A21" s="168"/>
      <c r="B21" s="262" t="str" cm="1">
        <f t="array" ref="B21">_xlfn.XLOOKUP("S5T12",INDEX(TranslationTable,0,1),_xlfn.XLOOKUP(lang,Translation!$B$1:$D$1,Translation!B2:D71),"error")</f>
        <v>Boiler information:</v>
      </c>
      <c r="C21" s="262"/>
      <c r="D21" s="262"/>
      <c r="E21" s="184"/>
      <c r="F21" s="183"/>
      <c r="G21" s="168"/>
      <c r="H21" s="168"/>
      <c r="I21" s="149"/>
      <c r="J21" s="149"/>
      <c r="K21" s="149"/>
      <c r="L21" s="159"/>
      <c r="M21" s="159"/>
      <c r="N21" s="159"/>
      <c r="O21" s="159"/>
      <c r="P21" s="160"/>
      <c r="Q21" s="150"/>
      <c r="R21" s="150"/>
      <c r="S21" s="150"/>
      <c r="T21" s="150"/>
    </row>
    <row r="22" spans="1:20" ht="18" customHeight="1" x14ac:dyDescent="0.25">
      <c r="A22" s="168"/>
      <c r="B22" s="261" t="str" cm="1">
        <f t="array" ref="B22">_xlfn.XLOOKUP("S5T13",INDEX(TranslationTable,0,1),_xlfn.XLOOKUP(lang,Translation!$B$1:$D$1,Translation!B2:D71),"error")</f>
        <v>Boiler price:</v>
      </c>
      <c r="C22" s="261"/>
      <c r="D22" s="261"/>
      <c r="E22" s="185">
        <f>Finance_info!R21</f>
        <v>90000</v>
      </c>
      <c r="F22" s="183" t="str">
        <f>currency</f>
        <v>CHF</v>
      </c>
      <c r="G22" s="168"/>
      <c r="H22" s="168"/>
      <c r="I22" s="149"/>
      <c r="J22" s="149"/>
      <c r="K22" s="149"/>
      <c r="L22" s="159"/>
      <c r="M22" s="159"/>
      <c r="N22" s="159"/>
      <c r="O22" s="159"/>
      <c r="P22" s="160"/>
      <c r="Q22" s="150"/>
      <c r="R22" s="150"/>
      <c r="S22" s="150"/>
      <c r="T22" s="150"/>
    </row>
    <row r="23" spans="1:20" ht="18" customHeight="1" x14ac:dyDescent="0.25">
      <c r="A23" s="168"/>
      <c r="B23" s="261" t="str" cm="1">
        <f t="array" ref="B23">_xlfn.XLOOKUP("S5T14",INDEX(TranslationTable,0,1),_xlfn.XLOOKUP(lang,Translation!$B$1:$D$1,Translation!B2:D71),"error")</f>
        <v>Boiler installation:</v>
      </c>
      <c r="C23" s="261"/>
      <c r="D23" s="261"/>
      <c r="E23" s="188">
        <f>Finance_info!R23</f>
        <v>15000</v>
      </c>
      <c r="F23" s="187" t="str">
        <f>currency</f>
        <v>CHF</v>
      </c>
      <c r="G23" s="168"/>
      <c r="H23" s="168"/>
      <c r="I23" s="149"/>
      <c r="J23" s="149"/>
      <c r="K23" s="149"/>
      <c r="L23" s="159"/>
      <c r="M23" s="156"/>
      <c r="N23" s="159"/>
      <c r="O23" s="159"/>
      <c r="P23" s="160"/>
      <c r="Q23" s="150"/>
      <c r="R23" s="150"/>
      <c r="S23" s="150"/>
      <c r="T23" s="150"/>
    </row>
    <row r="24" spans="1:20" ht="18" customHeight="1" x14ac:dyDescent="0.25">
      <c r="A24" s="168"/>
      <c r="B24" s="261" t="str" cm="1">
        <f t="array" ref="B24">_xlfn.XLOOKUP("S5T15",INDEX(TranslationTable,0,1),_xlfn.XLOOKUP(lang,Translation!$B$1:$D$1,Translation!B2:D71),"error")</f>
        <v>Boiler CAPEX:</v>
      </c>
      <c r="C24" s="261"/>
      <c r="D24" s="261"/>
      <c r="E24" s="192">
        <f>$E$22+$E$23</f>
        <v>105000</v>
      </c>
      <c r="F24" s="195" t="str">
        <f>currency</f>
        <v>CHF</v>
      </c>
      <c r="G24" s="168"/>
      <c r="H24" s="168"/>
      <c r="I24" s="149"/>
      <c r="J24" s="149"/>
      <c r="K24" s="149"/>
      <c r="L24" s="149"/>
      <c r="M24" s="149"/>
      <c r="N24" s="149"/>
      <c r="O24" s="149"/>
      <c r="P24" s="150"/>
      <c r="Q24" s="150"/>
      <c r="R24" s="150"/>
      <c r="S24" s="150"/>
      <c r="T24" s="150"/>
    </row>
    <row r="25" spans="1:20" ht="18" customHeight="1" x14ac:dyDescent="0.25">
      <c r="A25" s="168"/>
      <c r="B25" s="189"/>
      <c r="C25" s="189"/>
      <c r="D25" s="189"/>
      <c r="E25" s="186"/>
      <c r="F25" s="187"/>
      <c r="G25" s="168"/>
      <c r="H25" s="168"/>
      <c r="I25" s="149"/>
      <c r="J25" s="149"/>
      <c r="K25" s="149"/>
      <c r="L25" s="149"/>
      <c r="M25" s="149"/>
      <c r="N25" s="149"/>
      <c r="O25" s="149"/>
      <c r="P25" s="150"/>
      <c r="Q25" s="150"/>
      <c r="R25" s="150"/>
      <c r="S25" s="150"/>
      <c r="T25" s="150"/>
    </row>
    <row r="26" spans="1:20" ht="18" customHeight="1" x14ac:dyDescent="0.25">
      <c r="A26" s="168"/>
      <c r="B26" s="261" t="str" cm="1">
        <f t="array" ref="B26">_xlfn.XLOOKUP("S5T16",INDEX(TranslationTable,0,1),_xlfn.XLOOKUP(lang,Translation!$B$1:$D$1,Translation!B2:D71),"error")</f>
        <v>Natural Gas cost:</v>
      </c>
      <c r="C26" s="261"/>
      <c r="D26" s="261"/>
      <c r="E26" s="186">
        <f>Finance_info!$R$9*Process_info!$G$11/(Finance_info!$M$20/100)</f>
        <v>260000</v>
      </c>
      <c r="F26" s="183" t="str">
        <f>currency&amp;"/annum"</f>
        <v>CHF/annum</v>
      </c>
      <c r="G26" s="168"/>
      <c r="H26" s="168"/>
      <c r="I26" s="149"/>
      <c r="J26" s="149"/>
      <c r="K26" s="149"/>
      <c r="L26" s="149"/>
      <c r="M26" s="149"/>
      <c r="N26" s="149"/>
      <c r="O26" s="149"/>
      <c r="P26" s="150"/>
      <c r="Q26" s="150"/>
      <c r="R26" s="150"/>
      <c r="S26" s="150"/>
      <c r="T26" s="150"/>
    </row>
    <row r="27" spans="1:20" ht="18" customHeight="1" x14ac:dyDescent="0.25">
      <c r="A27" s="168"/>
      <c r="B27" s="261" t="str" cm="1">
        <f t="array" ref="B27">_xlfn.XLOOKUP("S5T17",INDEX(TranslationTable,0,1),_xlfn.XLOOKUP(lang,Translation!$B$1:$D$1,Translation!B2:D71),"error")</f>
        <v>Boiler maintenance:</v>
      </c>
      <c r="C27" s="261"/>
      <c r="D27" s="261"/>
      <c r="E27" s="190">
        <f>Finance_info!$R$22</f>
        <v>2700</v>
      </c>
      <c r="F27" s="183" t="str">
        <f>currency&amp;"/annum"</f>
        <v>CHF/annum</v>
      </c>
      <c r="G27" s="168"/>
      <c r="H27" s="168"/>
      <c r="I27" s="149"/>
      <c r="J27" s="149"/>
      <c r="K27" s="149"/>
      <c r="L27" s="149"/>
      <c r="M27" s="149"/>
      <c r="N27" s="149"/>
      <c r="O27" s="149"/>
      <c r="P27" s="150"/>
      <c r="Q27" s="150"/>
      <c r="R27" s="150"/>
      <c r="S27" s="150"/>
      <c r="T27" s="150"/>
    </row>
    <row r="28" spans="1:20" ht="18" customHeight="1" x14ac:dyDescent="0.25">
      <c r="A28" s="168"/>
      <c r="B28" s="261" t="str" cm="1">
        <f t="array" ref="B28">_xlfn.XLOOKUP("S5T18",INDEX(TranslationTable,0,1),_xlfn.XLOOKUP(lang,Translation!$B$1:$D$1,Translation!B2:D71),"error")</f>
        <v>CO2 Tax:</v>
      </c>
      <c r="C28" s="261"/>
      <c r="D28" s="261"/>
      <c r="E28" s="182">
        <f>Finance_info!$R$11*Process_info!$G$11/Finance_info!$M$20*100</f>
        <v>0</v>
      </c>
      <c r="F28" s="183" t="str">
        <f>currency&amp;"/annum"</f>
        <v>CHF/annum</v>
      </c>
      <c r="G28" s="168"/>
      <c r="H28" s="168"/>
      <c r="I28" s="149"/>
      <c r="J28" s="149"/>
      <c r="K28" s="149"/>
      <c r="L28" s="149"/>
      <c r="M28" s="149"/>
      <c r="N28" s="149"/>
      <c r="O28" s="149"/>
      <c r="P28" s="150"/>
      <c r="Q28" s="150"/>
      <c r="R28" s="150"/>
      <c r="S28" s="150"/>
      <c r="T28" s="150"/>
    </row>
    <row r="29" spans="1:20" ht="18" customHeight="1" x14ac:dyDescent="0.25">
      <c r="A29" s="168"/>
      <c r="B29" s="261" t="str" cm="1">
        <f t="array" ref="B29">_xlfn.XLOOKUP("S5T19",INDEX(TranslationTable,0,1),_xlfn.XLOOKUP(lang,Translation!$B$1:$D$1,Translation!B2:D71),"error")</f>
        <v>Boiler yearly cost:</v>
      </c>
      <c r="C29" s="261"/>
      <c r="D29" s="261"/>
      <c r="E29" s="193">
        <f>Results!M11</f>
        <v>262700</v>
      </c>
      <c r="F29" s="194" t="str">
        <f>currency&amp;"/annum"</f>
        <v>CHF/annum</v>
      </c>
      <c r="G29" s="168"/>
      <c r="H29" s="168"/>
      <c r="I29" s="149"/>
      <c r="J29" s="149"/>
      <c r="K29" s="149"/>
      <c r="L29" s="149"/>
      <c r="M29" s="149"/>
      <c r="N29" s="149"/>
      <c r="O29" s="149"/>
      <c r="P29" s="150"/>
      <c r="Q29" s="150"/>
      <c r="R29" s="150"/>
      <c r="S29" s="150"/>
      <c r="T29" s="150"/>
    </row>
    <row r="30" spans="1:20" ht="18" customHeight="1" x14ac:dyDescent="0.25">
      <c r="A30" s="168"/>
      <c r="B30" s="168"/>
      <c r="C30" s="168"/>
      <c r="D30" s="168"/>
      <c r="E30" s="181"/>
      <c r="F30" s="168"/>
      <c r="G30" s="168"/>
      <c r="H30" s="168"/>
      <c r="I30" s="149"/>
      <c r="J30" s="149"/>
      <c r="K30" s="149"/>
      <c r="L30" s="149"/>
      <c r="M30" s="149"/>
      <c r="N30" s="149"/>
      <c r="O30" s="149"/>
      <c r="P30" s="150"/>
      <c r="Q30" s="150"/>
      <c r="R30" s="150"/>
      <c r="S30" s="150"/>
      <c r="T30" s="150"/>
    </row>
    <row r="31" spans="1:20" ht="18" customHeight="1" x14ac:dyDescent="0.25">
      <c r="A31" s="168"/>
      <c r="B31" s="168"/>
      <c r="C31" s="168"/>
      <c r="D31" s="168"/>
      <c r="E31" s="168"/>
      <c r="F31" s="168"/>
      <c r="G31" s="168"/>
      <c r="H31" s="168"/>
      <c r="I31" s="150"/>
      <c r="J31" s="150"/>
      <c r="K31" s="150"/>
      <c r="L31" s="150"/>
      <c r="M31" s="150"/>
      <c r="N31" s="150"/>
      <c r="O31" s="150"/>
      <c r="P31" s="150"/>
      <c r="Q31" s="150"/>
      <c r="R31" s="150"/>
      <c r="S31" s="150"/>
      <c r="T31" s="150"/>
    </row>
    <row r="32" spans="1:20" ht="18" customHeight="1" x14ac:dyDescent="0.25">
      <c r="A32" s="170"/>
      <c r="B32" s="170"/>
      <c r="C32" s="170"/>
      <c r="D32" s="170"/>
      <c r="E32" s="170"/>
      <c r="F32" s="170"/>
      <c r="G32" s="170"/>
      <c r="H32" s="170"/>
    </row>
    <row r="33" spans="1:8" ht="18" customHeight="1" x14ac:dyDescent="0.25">
      <c r="A33" s="170"/>
      <c r="B33" s="170"/>
      <c r="C33" s="170"/>
      <c r="D33" s="170"/>
      <c r="E33" s="170"/>
      <c r="F33" s="170"/>
      <c r="G33" s="170"/>
      <c r="H33" s="170"/>
    </row>
    <row r="34" spans="1:8" ht="18" customHeight="1" x14ac:dyDescent="0.25">
      <c r="A34" s="170"/>
      <c r="B34" s="170"/>
      <c r="C34" s="170"/>
      <c r="D34" s="170"/>
      <c r="E34" s="170"/>
      <c r="F34" s="170"/>
      <c r="G34" s="170"/>
      <c r="H34" s="170"/>
    </row>
    <row r="35" spans="1:8" ht="18" customHeight="1" x14ac:dyDescent="0.25">
      <c r="A35" s="170"/>
      <c r="B35" s="170"/>
      <c r="C35" s="170"/>
      <c r="D35" s="170"/>
      <c r="E35" s="170"/>
      <c r="F35" s="170"/>
      <c r="G35" s="170"/>
      <c r="H35" s="170"/>
    </row>
    <row r="36" spans="1:8" ht="18" customHeight="1" x14ac:dyDescent="0.25">
      <c r="A36" s="170"/>
      <c r="B36" s="268" t="str" cm="1">
        <f t="array" ref="B36">_xlfn.XLOOKUP("S5T20",INDEX(TranslationTable,0,1),_xlfn.XLOOKUP(lang,Translation!$B$1:$D$1,Translation!B2:D71),"error")</f>
        <v>The values in this page are only a rough estimation and a more detailed analysis should be made in order to verify the technical and economical feasibility of this case. Please contact ies@ost.ch to discuss this case further.</v>
      </c>
      <c r="C36" s="268"/>
      <c r="D36" s="268"/>
      <c r="E36" s="268"/>
      <c r="F36" s="268"/>
      <c r="G36" s="268"/>
      <c r="H36" s="170"/>
    </row>
    <row r="37" spans="1:8" ht="18" customHeight="1" x14ac:dyDescent="0.25">
      <c r="A37" s="170"/>
      <c r="B37" s="268"/>
      <c r="C37" s="268"/>
      <c r="D37" s="268"/>
      <c r="E37" s="268"/>
      <c r="F37" s="268"/>
      <c r="G37" s="268"/>
      <c r="H37" s="170"/>
    </row>
    <row r="38" spans="1:8" ht="18" customHeight="1" x14ac:dyDescent="0.25">
      <c r="A38" s="170"/>
      <c r="B38" s="268"/>
      <c r="C38" s="268"/>
      <c r="D38" s="268"/>
      <c r="E38" s="268"/>
      <c r="F38" s="268"/>
      <c r="G38" s="268"/>
      <c r="H38" s="170"/>
    </row>
    <row r="39" spans="1:8" ht="18" customHeight="1" x14ac:dyDescent="0.25">
      <c r="A39" s="170"/>
      <c r="B39" s="170"/>
      <c r="C39" s="170"/>
      <c r="D39" s="170"/>
      <c r="E39" s="170"/>
      <c r="F39" s="170"/>
      <c r="G39" s="170"/>
      <c r="H39" s="170"/>
    </row>
    <row r="40" spans="1:8" ht="18" customHeight="1" x14ac:dyDescent="0.25">
      <c r="A40" s="170"/>
      <c r="B40" s="170"/>
      <c r="C40" s="170"/>
      <c r="D40" s="170"/>
      <c r="E40" s="170"/>
      <c r="F40" s="170"/>
      <c r="G40" s="170"/>
      <c r="H40" s="170"/>
    </row>
    <row r="41" spans="1:8" ht="18" customHeight="1" x14ac:dyDescent="0.25">
      <c r="A41" s="267">
        <f ca="1">TODAY()</f>
        <v>45106</v>
      </c>
      <c r="B41" s="267"/>
      <c r="C41" s="170"/>
      <c r="D41" s="170"/>
      <c r="E41" s="170"/>
      <c r="F41" s="170"/>
      <c r="G41" s="170"/>
      <c r="H41" s="170"/>
    </row>
    <row r="42" spans="1:8" ht="18" customHeight="1" thickBot="1" x14ac:dyDescent="0.3">
      <c r="A42" s="151"/>
      <c r="B42" s="263"/>
      <c r="C42" s="263"/>
      <c r="D42" s="263"/>
      <c r="E42" s="263"/>
      <c r="F42" s="263"/>
      <c r="G42" s="263"/>
      <c r="H42" s="176" t="b">
        <f>replacing</f>
        <v>1</v>
      </c>
    </row>
    <row r="43" spans="1:8" ht="18" customHeight="1" thickTop="1" thickBot="1" x14ac:dyDescent="0.3">
      <c r="A43" s="197" t="str" cm="1">
        <f t="array" aca="1" ref="A43" ca="1">CELL("dateiname",Results!$A$1)</f>
        <v>P:\03_Projekte\270_2021-IntSGHP\03_WP_und_Messungen_Simulationen\Excel_tool\[HeatPump_IntegrationCalculation_Example.xlsx]Results</v>
      </c>
      <c r="B43" s="197" t="str">
        <f ca="1">RIGHT(A43,LEN(A43)-FIND("[",A43)+1)</f>
        <v>[HeatPump_IntegrationCalculation_Example.xlsx]Results</v>
      </c>
      <c r="C43" s="197" t="s">
        <v>1984</v>
      </c>
      <c r="D43" s="255" t="str" cm="1">
        <f t="array" aca="1" ref="D43" ca="1">HYPERLINK($F$43,_xlfn.XLOOKUP("S0T0",INDEX(TranslationTable,0,1),_xlfn.XLOOKUP(lang,Translation!$B$1:$D$1,Translation!B2:D71),"error"))</f>
        <v xml:space="preserve">          back          </v>
      </c>
      <c r="E43" s="266"/>
      <c r="F43" s="197" t="str">
        <f ca="1">B43&amp;C43</f>
        <v>[HeatPump_IntegrationCalculation_Example.xlsx]Results!E2</v>
      </c>
      <c r="G43" s="178"/>
      <c r="H43" s="178"/>
    </row>
  </sheetData>
  <sheetProtection algorithmName="SHA-512" hashValue="lK70jBGOeZQIXtKCm1BIwU8xK3+//6WQCSTiYaA/aisH/atn4vELkejKjWZGKAIozoW9Ae37Wr/YSl7PUx7HWQ==" saltValue="sptR2eVKVMeGWZNrJ2Xx4A==" spinCount="100000" sheet="1" objects="1" scenarios="1"/>
  <mergeCells count="23">
    <mergeCell ref="B42:G42"/>
    <mergeCell ref="B5:F7"/>
    <mergeCell ref="B3:G3"/>
    <mergeCell ref="D43:E43"/>
    <mergeCell ref="B19:D19"/>
    <mergeCell ref="A41:B41"/>
    <mergeCell ref="B36:G38"/>
    <mergeCell ref="B11:D11"/>
    <mergeCell ref="B12:D12"/>
    <mergeCell ref="B13:D13"/>
    <mergeCell ref="B18:D18"/>
    <mergeCell ref="B14:D14"/>
    <mergeCell ref="B17:D17"/>
    <mergeCell ref="B15:D15"/>
    <mergeCell ref="B8:F9"/>
    <mergeCell ref="B26:D26"/>
    <mergeCell ref="B27:D27"/>
    <mergeCell ref="B29:D29"/>
    <mergeCell ref="B24:D24"/>
    <mergeCell ref="B28:D28"/>
    <mergeCell ref="B21:D21"/>
    <mergeCell ref="B22:D22"/>
    <mergeCell ref="B23:D23"/>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0EF36-B8A5-4705-B17B-3D0F56B75CE0}">
  <dimension ref="A1:M71"/>
  <sheetViews>
    <sheetView topLeftCell="A25" workbookViewId="0">
      <selection activeCell="M24" sqref="M24:N24"/>
    </sheetView>
  </sheetViews>
  <sheetFormatPr baseColWidth="10" defaultColWidth="11.42578125" defaultRowHeight="15" x14ac:dyDescent="0.25"/>
  <cols>
    <col min="1" max="1" width="7.5703125" style="208" bestFit="1" customWidth="1"/>
    <col min="2" max="3" width="80.7109375" style="208" customWidth="1"/>
    <col min="4" max="4" width="80.85546875" style="208" customWidth="1"/>
    <col min="5" max="6" width="11.42578125" style="208"/>
    <col min="7" max="7" width="42.42578125" style="208" customWidth="1"/>
    <col min="8" max="16384" width="11.42578125" style="208"/>
  </cols>
  <sheetData>
    <row r="1" spans="1:4" x14ac:dyDescent="0.25">
      <c r="A1" s="208" t="s">
        <v>1988</v>
      </c>
      <c r="B1" s="208" t="s">
        <v>1209</v>
      </c>
      <c r="C1" s="208" t="s">
        <v>1992</v>
      </c>
      <c r="D1" s="208" t="s">
        <v>1993</v>
      </c>
    </row>
    <row r="2" spans="1:4" x14ac:dyDescent="0.25">
      <c r="A2" s="208" t="s">
        <v>1997</v>
      </c>
      <c r="B2" s="217" t="s">
        <v>2077</v>
      </c>
      <c r="C2" s="217" t="s">
        <v>2234</v>
      </c>
      <c r="D2" s="217" t="s">
        <v>2074</v>
      </c>
    </row>
    <row r="3" spans="1:4" x14ac:dyDescent="0.25">
      <c r="A3" s="208" t="s">
        <v>1995</v>
      </c>
      <c r="B3" s="217" t="s">
        <v>2078</v>
      </c>
      <c r="C3" s="217" t="s">
        <v>2076</v>
      </c>
      <c r="D3" s="217" t="s">
        <v>2075</v>
      </c>
    </row>
    <row r="4" spans="1:4" x14ac:dyDescent="0.25">
      <c r="A4" s="208" t="s">
        <v>1996</v>
      </c>
      <c r="B4" s="217" t="s">
        <v>2135</v>
      </c>
      <c r="C4" s="217" t="s">
        <v>2134</v>
      </c>
      <c r="D4" s="217" t="s">
        <v>2133</v>
      </c>
    </row>
    <row r="5" spans="1:4" x14ac:dyDescent="0.25">
      <c r="A5" s="208" t="s">
        <v>2159</v>
      </c>
      <c r="B5" s="217" t="s">
        <v>1989</v>
      </c>
      <c r="C5" s="217" t="s">
        <v>1990</v>
      </c>
      <c r="D5" s="217" t="s">
        <v>1991</v>
      </c>
    </row>
    <row r="6" spans="1:4" x14ac:dyDescent="0.25">
      <c r="A6" s="208" t="s">
        <v>1994</v>
      </c>
      <c r="B6" s="208" t="s">
        <v>1998</v>
      </c>
      <c r="C6" s="208" t="s">
        <v>1999</v>
      </c>
      <c r="D6" s="208" t="s">
        <v>2000</v>
      </c>
    </row>
    <row r="7" spans="1:4" x14ac:dyDescent="0.25">
      <c r="A7" s="208" t="s">
        <v>2001</v>
      </c>
      <c r="B7" s="208" t="s">
        <v>2164</v>
      </c>
      <c r="C7" s="208" t="s">
        <v>2003</v>
      </c>
      <c r="D7" s="208" t="s">
        <v>2002</v>
      </c>
    </row>
    <row r="8" spans="1:4" ht="30" x14ac:dyDescent="0.25">
      <c r="A8" s="208" t="s">
        <v>2005</v>
      </c>
      <c r="B8" s="208" t="s">
        <v>2004</v>
      </c>
      <c r="C8" s="208" t="s">
        <v>2006</v>
      </c>
      <c r="D8" s="208" t="s">
        <v>2007</v>
      </c>
    </row>
    <row r="9" spans="1:4" x14ac:dyDescent="0.25">
      <c r="A9" s="208" t="s">
        <v>2008</v>
      </c>
      <c r="B9" s="208" t="s">
        <v>2009</v>
      </c>
      <c r="C9" s="208" t="s">
        <v>2010</v>
      </c>
      <c r="D9" s="208" t="s">
        <v>2011</v>
      </c>
    </row>
    <row r="10" spans="1:4" x14ac:dyDescent="0.25">
      <c r="A10" s="208" t="s">
        <v>2014</v>
      </c>
      <c r="B10" s="208" t="s">
        <v>2012</v>
      </c>
      <c r="C10" s="208" t="s">
        <v>2013</v>
      </c>
      <c r="D10" s="208" t="s">
        <v>2194</v>
      </c>
    </row>
    <row r="11" spans="1:4" x14ac:dyDescent="0.25">
      <c r="A11" s="208" t="s">
        <v>2023</v>
      </c>
      <c r="B11" s="208" t="s">
        <v>2020</v>
      </c>
      <c r="C11" s="208" t="s">
        <v>2021</v>
      </c>
      <c r="D11" s="208" t="s">
        <v>2022</v>
      </c>
    </row>
    <row r="12" spans="1:4" x14ac:dyDescent="0.25">
      <c r="A12" s="208" t="s">
        <v>2024</v>
      </c>
      <c r="B12" s="208" t="s">
        <v>2026</v>
      </c>
      <c r="C12" s="208" t="s">
        <v>2025</v>
      </c>
      <c r="D12" s="208" t="s">
        <v>2027</v>
      </c>
    </row>
    <row r="13" spans="1:4" x14ac:dyDescent="0.25">
      <c r="A13" s="208" t="s">
        <v>2044</v>
      </c>
      <c r="B13" s="208" t="s">
        <v>2032</v>
      </c>
      <c r="C13" s="208" t="s">
        <v>2028</v>
      </c>
      <c r="D13" s="208" t="s">
        <v>2038</v>
      </c>
    </row>
    <row r="14" spans="1:4" x14ac:dyDescent="0.25">
      <c r="A14" s="208" t="s">
        <v>2045</v>
      </c>
      <c r="B14" s="208" t="s">
        <v>2034</v>
      </c>
      <c r="C14" s="208" t="s">
        <v>2030</v>
      </c>
      <c r="D14" s="208" t="s">
        <v>2039</v>
      </c>
    </row>
    <row r="15" spans="1:4" x14ac:dyDescent="0.25">
      <c r="A15" s="208" t="s">
        <v>2046</v>
      </c>
      <c r="B15" s="208" t="s">
        <v>2036</v>
      </c>
      <c r="C15" s="208" t="s">
        <v>2233</v>
      </c>
      <c r="D15" s="208" t="s">
        <v>2040</v>
      </c>
    </row>
    <row r="16" spans="1:4" x14ac:dyDescent="0.25">
      <c r="A16" s="208" t="s">
        <v>2047</v>
      </c>
      <c r="B16" s="208" t="s">
        <v>2033</v>
      </c>
      <c r="C16" s="208" t="s">
        <v>2029</v>
      </c>
      <c r="D16" s="208" t="s">
        <v>2041</v>
      </c>
    </row>
    <row r="17" spans="1:13" x14ac:dyDescent="0.25">
      <c r="A17" s="208" t="s">
        <v>2048</v>
      </c>
      <c r="B17" s="208" t="s">
        <v>2035</v>
      </c>
      <c r="C17" s="208" t="s">
        <v>2031</v>
      </c>
      <c r="D17" s="208" t="s">
        <v>2042</v>
      </c>
    </row>
    <row r="18" spans="1:13" x14ac:dyDescent="0.25">
      <c r="A18" s="208" t="s">
        <v>2049</v>
      </c>
      <c r="B18" s="208" t="s">
        <v>2037</v>
      </c>
      <c r="C18" s="208" t="s">
        <v>2232</v>
      </c>
      <c r="D18" s="208" t="s">
        <v>2043</v>
      </c>
    </row>
    <row r="19" spans="1:13" x14ac:dyDescent="0.25">
      <c r="A19" s="208" t="s">
        <v>2054</v>
      </c>
      <c r="B19" s="208" t="s">
        <v>2051</v>
      </c>
      <c r="C19" s="208" t="s">
        <v>2052</v>
      </c>
      <c r="D19" s="208" t="s">
        <v>2053</v>
      </c>
    </row>
    <row r="20" spans="1:13" x14ac:dyDescent="0.25">
      <c r="A20" s="208" t="s">
        <v>2062</v>
      </c>
      <c r="B20" s="208" t="s">
        <v>2058</v>
      </c>
      <c r="C20" s="208" t="s">
        <v>2055</v>
      </c>
      <c r="D20" s="208" t="s">
        <v>2067</v>
      </c>
    </row>
    <row r="21" spans="1:13" x14ac:dyDescent="0.25">
      <c r="A21" s="208" t="s">
        <v>2063</v>
      </c>
      <c r="B21" s="208" t="s">
        <v>2059</v>
      </c>
      <c r="C21" s="208" t="s">
        <v>2056</v>
      </c>
      <c r="D21" s="208" t="s">
        <v>2068</v>
      </c>
    </row>
    <row r="22" spans="1:13" x14ac:dyDescent="0.25">
      <c r="A22" s="208" t="s">
        <v>2064</v>
      </c>
      <c r="B22" s="208" t="s">
        <v>2060</v>
      </c>
      <c r="C22" s="208" t="s">
        <v>2231</v>
      </c>
      <c r="D22" s="208" t="s">
        <v>2069</v>
      </c>
    </row>
    <row r="23" spans="1:13" x14ac:dyDescent="0.25">
      <c r="A23" s="208" t="s">
        <v>2065</v>
      </c>
      <c r="B23" s="208" t="s">
        <v>2061</v>
      </c>
      <c r="C23" s="208" t="s">
        <v>2057</v>
      </c>
      <c r="D23" s="208" t="s">
        <v>2066</v>
      </c>
    </row>
    <row r="24" spans="1:13" x14ac:dyDescent="0.25">
      <c r="A24" s="208" t="s">
        <v>2070</v>
      </c>
      <c r="B24" s="208" t="s">
        <v>2071</v>
      </c>
      <c r="C24" s="208" t="s">
        <v>2072</v>
      </c>
      <c r="D24" s="208" t="s">
        <v>2073</v>
      </c>
    </row>
    <row r="25" spans="1:13" x14ac:dyDescent="0.25">
      <c r="A25" s="208" t="s">
        <v>2080</v>
      </c>
      <c r="B25" s="208" t="s">
        <v>2079</v>
      </c>
      <c r="C25" s="208" t="s">
        <v>2230</v>
      </c>
      <c r="D25" s="208" t="s">
        <v>2160</v>
      </c>
    </row>
    <row r="26" spans="1:13" x14ac:dyDescent="0.25">
      <c r="A26" s="208" t="s">
        <v>2089</v>
      </c>
      <c r="B26" s="208" t="s">
        <v>2118</v>
      </c>
      <c r="C26" s="208" t="s">
        <v>2229</v>
      </c>
      <c r="D26" s="208" t="s">
        <v>2132</v>
      </c>
    </row>
    <row r="27" spans="1:13" x14ac:dyDescent="0.25">
      <c r="A27" s="208" t="s">
        <v>2090</v>
      </c>
      <c r="B27" s="208" t="s">
        <v>2108</v>
      </c>
      <c r="C27" s="208" t="s">
        <v>2228</v>
      </c>
      <c r="D27" s="208" t="s">
        <v>2127</v>
      </c>
    </row>
    <row r="28" spans="1:13" x14ac:dyDescent="0.25">
      <c r="A28" s="208" t="s">
        <v>2091</v>
      </c>
      <c r="B28" s="208" t="s">
        <v>2109</v>
      </c>
      <c r="C28" s="208" t="s">
        <v>2227</v>
      </c>
      <c r="D28" s="208" t="s">
        <v>2119</v>
      </c>
    </row>
    <row r="29" spans="1:13" x14ac:dyDescent="0.25">
      <c r="A29" s="208" t="s">
        <v>2092</v>
      </c>
      <c r="B29" s="208" t="s">
        <v>2110</v>
      </c>
      <c r="C29" s="208" t="s">
        <v>2081</v>
      </c>
      <c r="D29" s="208" t="s">
        <v>2129</v>
      </c>
    </row>
    <row r="30" spans="1:13" x14ac:dyDescent="0.25">
      <c r="A30" s="208" t="s">
        <v>2093</v>
      </c>
      <c r="B30" s="208" t="str">
        <f>fuel&amp;" cost:"</f>
        <v>natural gas cost:</v>
      </c>
      <c r="C30" s="208" t="str">
        <f>fuel&amp;"kosten:"</f>
        <v>natural gaskosten:</v>
      </c>
      <c r="D30" s="208" t="s">
        <v>2126</v>
      </c>
    </row>
    <row r="31" spans="1:13" x14ac:dyDescent="0.25">
      <c r="A31" s="208" t="s">
        <v>2094</v>
      </c>
      <c r="B31" s="208" t="str">
        <f>fuel&amp;" yearly fee:"</f>
        <v>natural gas yearly fee:</v>
      </c>
      <c r="C31" s="208" t="str">
        <f>fuel&amp;" jahrliche Gebühr:"</f>
        <v>natural gas jahrliche Gebühr:</v>
      </c>
      <c r="D31" s="208" t="str">
        <f>"Frais annuels de la "&amp;fuel&amp;" :"</f>
        <v>Frais annuels de la natural gas :</v>
      </c>
    </row>
    <row r="32" spans="1:13" ht="18.75" x14ac:dyDescent="0.25">
      <c r="A32" s="208" t="s">
        <v>2095</v>
      </c>
      <c r="B32" s="208" t="s">
        <v>2111</v>
      </c>
      <c r="C32" s="208" t="s">
        <v>2082</v>
      </c>
      <c r="D32" s="208" t="s">
        <v>2120</v>
      </c>
      <c r="G32" s="218"/>
      <c r="H32" s="218"/>
      <c r="I32" s="218"/>
      <c r="J32" s="218"/>
      <c r="K32" s="218"/>
      <c r="L32" s="218"/>
      <c r="M32" s="218"/>
    </row>
    <row r="33" spans="1:4" x14ac:dyDescent="0.25">
      <c r="A33" s="208" t="s">
        <v>2096</v>
      </c>
      <c r="B33" s="208" t="s">
        <v>2112</v>
      </c>
      <c r="C33" s="208" t="s">
        <v>2083</v>
      </c>
      <c r="D33" s="208" t="s">
        <v>2121</v>
      </c>
    </row>
    <row r="34" spans="1:4" x14ac:dyDescent="0.25">
      <c r="A34" s="208" t="s">
        <v>2097</v>
      </c>
      <c r="B34" s="208" t="s">
        <v>2113</v>
      </c>
      <c r="C34" s="208" t="s">
        <v>2084</v>
      </c>
      <c r="D34" s="208" t="s">
        <v>2122</v>
      </c>
    </row>
    <row r="35" spans="1:4" x14ac:dyDescent="0.25">
      <c r="A35" s="208" t="s">
        <v>2098</v>
      </c>
      <c r="B35" s="208" t="s">
        <v>2114</v>
      </c>
      <c r="C35" s="208" t="s">
        <v>2085</v>
      </c>
      <c r="D35" s="208" t="s">
        <v>2123</v>
      </c>
    </row>
    <row r="36" spans="1:4" x14ac:dyDescent="0.25">
      <c r="A36" s="208" t="s">
        <v>2099</v>
      </c>
      <c r="B36" s="208" t="s">
        <v>2115</v>
      </c>
      <c r="C36" s="208" t="s">
        <v>2086</v>
      </c>
      <c r="D36" s="208" t="s">
        <v>2124</v>
      </c>
    </row>
    <row r="37" spans="1:4" x14ac:dyDescent="0.25">
      <c r="A37" s="208" t="s">
        <v>2100</v>
      </c>
      <c r="B37" s="208" t="s">
        <v>2116</v>
      </c>
      <c r="C37" s="208" t="s">
        <v>2087</v>
      </c>
      <c r="D37" s="208" t="s">
        <v>2125</v>
      </c>
    </row>
    <row r="38" spans="1:4" x14ac:dyDescent="0.25">
      <c r="A38" s="208" t="s">
        <v>2101</v>
      </c>
      <c r="B38" s="208" t="str">
        <f>"Lifetime of the "&amp;fuel&amp;"-fired boiler:"</f>
        <v>Lifetime of the natural gas-fired boiler:</v>
      </c>
      <c r="C38" s="208" t="str">
        <f>"Lebensdauer des "&amp;fuel&amp;"kessels:"</f>
        <v>Lebensdauer des natural gaskessels:</v>
      </c>
      <c r="D38" s="208" t="str">
        <f>"Durée de vie de la chaudière à "&amp;fuel&amp;" :"</f>
        <v>Durée de vie de la chaudière à natural gas :</v>
      </c>
    </row>
    <row r="39" spans="1:4" x14ac:dyDescent="0.25">
      <c r="A39" s="208" t="s">
        <v>2102</v>
      </c>
      <c r="B39" s="208" t="str">
        <f>fuel&amp;"-fired boiler efficiency:"</f>
        <v>natural gas-fired boiler efficiency:</v>
      </c>
      <c r="C39" s="208" t="str">
        <f>"Effizienz des "&amp;fuel&amp;"kessels:"</f>
        <v>Effizienz des natural gaskessels:</v>
      </c>
      <c r="D39" s="208" t="str">
        <f>"Rendement de la chaudière à "&amp;fuel&amp;" :"</f>
        <v>Rendement de la chaudière à natural gas :</v>
      </c>
    </row>
    <row r="40" spans="1:4" x14ac:dyDescent="0.25">
      <c r="A40" s="208" t="s">
        <v>2103</v>
      </c>
      <c r="B40" s="208" t="str">
        <f>fuel&amp;"-fired boiler price:"</f>
        <v>natural gas-fired boiler price:</v>
      </c>
      <c r="C40" s="208" t="str">
        <f>"Preis des "&amp;fuel&amp;"kessels:"</f>
        <v>Preis des natural gaskessels:</v>
      </c>
      <c r="D40" s="208" t="str">
        <f>"Prix de la chaudière à "&amp;fuel&amp;" :"</f>
        <v>Prix de la chaudière à natural gas :</v>
      </c>
    </row>
    <row r="41" spans="1:4" x14ac:dyDescent="0.25">
      <c r="A41" s="208" t="s">
        <v>2104</v>
      </c>
      <c r="B41" s="208" t="str">
        <f>fuel&amp;"-fired boiler maintenance cost:"</f>
        <v>natural gas-fired boiler maintenance cost:</v>
      </c>
      <c r="C41" s="208" t="str">
        <f>"Wartungskosten für "&amp;fuel&amp;"kessel:"</f>
        <v>Wartungskosten für natural gaskessel:</v>
      </c>
      <c r="D41" s="208" t="str">
        <f>"Coût d'entretien de la chaudière à "&amp;fuel&amp;" :"</f>
        <v>Coût d'entretien de la chaudière à natural gas :</v>
      </c>
    </row>
    <row r="42" spans="1:4" x14ac:dyDescent="0.25">
      <c r="A42" s="208" t="s">
        <v>2105</v>
      </c>
      <c r="B42" s="208" t="str">
        <f>fuel&amp;"-fired boiler installation cost:"</f>
        <v>natural gas-fired boiler installation cost:</v>
      </c>
      <c r="C42" s="208" t="str">
        <f>"Installationskosten für "&amp;fuel&amp;"kessel:"</f>
        <v>Installationskosten für natural gaskessel:</v>
      </c>
      <c r="D42" s="208" t="str">
        <f>"Coût d'installation de la chaudière à "&amp;fuel&amp;" :"</f>
        <v>Coût d'installation de la chaudière à natural gas :</v>
      </c>
    </row>
    <row r="43" spans="1:4" x14ac:dyDescent="0.25">
      <c r="A43" s="208" t="s">
        <v>2106</v>
      </c>
      <c r="B43" s="208" t="s">
        <v>2117</v>
      </c>
      <c r="C43" s="208" t="s">
        <v>2088</v>
      </c>
      <c r="D43" s="208" t="s">
        <v>2128</v>
      </c>
    </row>
    <row r="44" spans="1:4" x14ac:dyDescent="0.25">
      <c r="A44" s="208" t="s">
        <v>2107</v>
      </c>
      <c r="B44" s="208" t="s">
        <v>2131</v>
      </c>
      <c r="C44" s="208" t="s">
        <v>2226</v>
      </c>
      <c r="D44" s="208" t="s">
        <v>2130</v>
      </c>
    </row>
    <row r="45" spans="1:4" x14ac:dyDescent="0.25">
      <c r="A45" s="208" t="s">
        <v>2145</v>
      </c>
      <c r="B45" s="208" t="s">
        <v>2144</v>
      </c>
      <c r="C45" s="208" t="s">
        <v>2225</v>
      </c>
      <c r="D45" s="208" t="s">
        <v>2152</v>
      </c>
    </row>
    <row r="46" spans="1:4" x14ac:dyDescent="0.25">
      <c r="A46" s="208" t="s">
        <v>2146</v>
      </c>
      <c r="B46" s="208" t="s">
        <v>2138</v>
      </c>
      <c r="C46" s="208" t="s">
        <v>2224</v>
      </c>
      <c r="D46" s="208" t="s">
        <v>2155</v>
      </c>
    </row>
    <row r="47" spans="1:4" x14ac:dyDescent="0.25">
      <c r="A47" s="208" t="s">
        <v>2147</v>
      </c>
      <c r="B47" s="208" t="s">
        <v>2139</v>
      </c>
      <c r="C47" s="208" t="s">
        <v>2136</v>
      </c>
      <c r="D47" s="208" t="s">
        <v>2156</v>
      </c>
    </row>
    <row r="48" spans="1:4" x14ac:dyDescent="0.25">
      <c r="A48" s="208" t="s">
        <v>2148</v>
      </c>
      <c r="B48" s="208" t="s">
        <v>2140</v>
      </c>
      <c r="C48" s="208" t="s">
        <v>2223</v>
      </c>
      <c r="D48" s="208" t="s">
        <v>2157</v>
      </c>
    </row>
    <row r="49" spans="1:4" x14ac:dyDescent="0.25">
      <c r="A49" s="208" t="s">
        <v>2149</v>
      </c>
      <c r="B49" s="208" t="s">
        <v>2141</v>
      </c>
      <c r="C49" s="208" t="s">
        <v>2222</v>
      </c>
      <c r="D49" s="208" t="s">
        <v>2158</v>
      </c>
    </row>
    <row r="50" spans="1:4" x14ac:dyDescent="0.25">
      <c r="A50" s="208" t="s">
        <v>2150</v>
      </c>
      <c r="B50" s="208" t="s">
        <v>2142</v>
      </c>
      <c r="C50" s="208" t="s">
        <v>2221</v>
      </c>
      <c r="D50" s="208" t="s">
        <v>2153</v>
      </c>
    </row>
    <row r="51" spans="1:4" x14ac:dyDescent="0.25">
      <c r="A51" s="208" t="s">
        <v>2151</v>
      </c>
      <c r="B51" s="208" t="s">
        <v>2143</v>
      </c>
      <c r="C51" s="208" t="s">
        <v>2137</v>
      </c>
      <c r="D51" s="208" t="s">
        <v>2154</v>
      </c>
    </row>
    <row r="52" spans="1:4" x14ac:dyDescent="0.25">
      <c r="A52" s="208" t="s">
        <v>2161</v>
      </c>
      <c r="B52" s="208" t="str">
        <f>IF(replacing,"Information on replacing a boiler by a heat pump","Information on installing a heat pump vs a boiler")</f>
        <v>Information on replacing a boiler by a heat pump</v>
      </c>
      <c r="C52" s="208" t="s">
        <v>2162</v>
      </c>
      <c r="D52" s="208" t="str">
        <f>IF(replacing,"Analyse lors d'une rénovation d'une chaudière par une PAC","Analyse d'installation d'une PAC vs chaudière")</f>
        <v>Analyse lors d'une rénovation d'une chaudière par une PAC</v>
      </c>
    </row>
    <row r="53" spans="1:4" ht="30" x14ac:dyDescent="0.25">
      <c r="A53" s="208" t="s">
        <v>2163</v>
      </c>
      <c r="B53" s="208" t="str">
        <f>IF(Results!$M$5&lt;0,"The heat pump is not a good option financially","The payback time is "&amp;ROUND(Results!$M$5,1)&amp;" years.")
&amp;IF(Results!$M$6&lt;0," However, the discount payback time is not financially interesting."," The discount payback time is "&amp;ROUND(Results!$M$6,1)&amp;" years.")
&amp;IF(Results!$M$7&lt;0," The annualized return on investment is unfortunately negative."," The annualized return on investment is "
&amp;ROUND(Results!$M$7,2)&amp;" %.")</f>
        <v>The payback time is 6.1 years. The discount payback time is 10 years. The annualized return on investment is 0.76 %.</v>
      </c>
      <c r="C53" s="208" t="str">
        <f>"Die Wärmepumpen Amortisation ist "&amp;ROUND(Results!$M$5,1)&amp;" Jahre."
&amp;" Die abgezinste Amortisationszeit der Wärmepumpe ist "&amp;ROUND(Results!$M$6,1)&amp;" Jahre."
&amp;" Die  Kapitalrendite auf das Jahr umgerechnet ist "&amp;ROUND(Results!$M$7,2)&amp;"%."</f>
        <v>Die Wärmepumpen Amortisation ist 6.1 Jahre. Die abgezinste Amortisationszeit der Wärmepumpe ist 10 Jahre. Die  Kapitalrendite auf das Jahr umgerechnet ist 0.76%.</v>
      </c>
      <c r="D53" s="208" t="str">
        <f>IF(Results!$M$5&lt;0,"La PAC n'est pas une option financièrement intéressante","Le retour sur investissement est "&amp;ROUND(Results!$M$5,1)&amp;" ans.")
&amp;IF(Results!$M$6&lt;0," Cependant le délai de récupération de l'escompte n'est pas financièrement bon."," Le délai de récupération de l'escompte est de "&amp;ROUND(Results!$M$6,1)&amp;" ans.")
&amp;IF(Results!$M$7&lt;0," Le retour sur investissement annualisé est négatif."," Le retour sur investissement annualisé est de "&amp;ROUND(Results!$M$7,2)&amp;" %.")</f>
        <v>Le retour sur investissement est 6.1 ans. Le délai de récupération de l'escompte est de 10 ans. Le retour sur investissement annualisé est de 0.76 %.</v>
      </c>
    </row>
    <row r="54" spans="1:4" x14ac:dyDescent="0.25">
      <c r="A54" s="208" t="s">
        <v>2165</v>
      </c>
      <c r="B54" s="208" t="str">
        <f>IF(Results!$M$8&gt;0,"The CO2 savings are "&amp;ROUND(Results!$M$8,0)&amp;" tons per year.","The CO2 will be higher by "&amp;ROUND(-Results!$M$8,0)&amp;" tons per year with the heat pump.")</f>
        <v>The CO2 savings are 212 tons per year.</v>
      </c>
      <c r="C54" s="208" t="str">
        <f>"Die CO2 Einsparung ist "&amp;ROUND(Results!$M$8,0)&amp;" Tonnen pro Jahr."</f>
        <v>Die CO2 Einsparung ist 212 Tonnen pro Jahr.</v>
      </c>
      <c r="D54" s="208" t="str">
        <f>IF(Results!$M$8&gt;0,"Les économies de CO2 sont de "&amp;ROUND(Results!$M$8,0)&amp;" tonnes par année.","La production de CO2 serait plus importante de "&amp;ROUND(-Results!$M$8,0)&amp;" tonnes par année avec une PAC.")</f>
        <v>Les économies de CO2 sont de 212 tonnes par année.</v>
      </c>
    </row>
    <row r="55" spans="1:4" x14ac:dyDescent="0.25">
      <c r="A55" s="208" t="s">
        <v>2178</v>
      </c>
      <c r="B55" s="208" t="s">
        <v>2166</v>
      </c>
      <c r="C55" s="208" t="s">
        <v>2235</v>
      </c>
      <c r="D55" s="208" t="s">
        <v>2202</v>
      </c>
    </row>
    <row r="56" spans="1:4" x14ac:dyDescent="0.25">
      <c r="A56" s="208" t="s">
        <v>2179</v>
      </c>
      <c r="B56" s="208" t="s">
        <v>2113</v>
      </c>
      <c r="C56" s="208" t="s">
        <v>2195</v>
      </c>
      <c r="D56" s="208" t="s">
        <v>2203</v>
      </c>
    </row>
    <row r="57" spans="1:4" x14ac:dyDescent="0.25">
      <c r="A57" s="208" t="s">
        <v>2180</v>
      </c>
      <c r="B57" s="208" t="s">
        <v>2167</v>
      </c>
      <c r="C57" s="208" t="s">
        <v>2196</v>
      </c>
      <c r="D57" s="208" t="s">
        <v>2204</v>
      </c>
    </row>
    <row r="58" spans="1:4" x14ac:dyDescent="0.25">
      <c r="A58" s="208" t="s">
        <v>2181</v>
      </c>
      <c r="B58" s="208" t="s">
        <v>2116</v>
      </c>
      <c r="C58" s="208" t="s">
        <v>2217</v>
      </c>
      <c r="D58" s="208" t="s">
        <v>2205</v>
      </c>
    </row>
    <row r="59" spans="1:4" x14ac:dyDescent="0.25">
      <c r="A59" s="208" t="s">
        <v>2182</v>
      </c>
      <c r="B59" s="208" t="s">
        <v>2168</v>
      </c>
      <c r="C59" s="208" t="s">
        <v>2218</v>
      </c>
      <c r="D59" s="208" t="s">
        <v>2206</v>
      </c>
    </row>
    <row r="60" spans="1:4" x14ac:dyDescent="0.25">
      <c r="A60" s="208" t="s">
        <v>2183</v>
      </c>
      <c r="B60" s="208" t="s">
        <v>2169</v>
      </c>
      <c r="C60" s="208" t="s">
        <v>2219</v>
      </c>
      <c r="D60" s="208" t="s">
        <v>2201</v>
      </c>
    </row>
    <row r="61" spans="1:4" x14ac:dyDescent="0.25">
      <c r="A61" s="208" t="s">
        <v>2184</v>
      </c>
      <c r="B61" s="208" t="s">
        <v>2170</v>
      </c>
      <c r="C61" s="208" t="s">
        <v>2220</v>
      </c>
      <c r="D61" s="208" t="s">
        <v>2207</v>
      </c>
    </row>
    <row r="62" spans="1:4" x14ac:dyDescent="0.25">
      <c r="A62" s="208" t="s">
        <v>2185</v>
      </c>
      <c r="B62" s="208" t="s">
        <v>2171</v>
      </c>
      <c r="C62" s="208" t="s">
        <v>2221</v>
      </c>
      <c r="D62" s="208" t="s">
        <v>2208</v>
      </c>
    </row>
    <row r="63" spans="1:4" x14ac:dyDescent="0.25">
      <c r="A63" s="208" t="s">
        <v>2186</v>
      </c>
      <c r="B63" s="208" t="s">
        <v>2172</v>
      </c>
      <c r="C63" s="208" t="s">
        <v>2197</v>
      </c>
      <c r="D63" s="208" t="s">
        <v>2209</v>
      </c>
    </row>
    <row r="64" spans="1:4" x14ac:dyDescent="0.25">
      <c r="A64" s="208" t="s">
        <v>2187</v>
      </c>
      <c r="B64" s="208" t="s">
        <v>2173</v>
      </c>
      <c r="C64" s="208" t="s">
        <v>2215</v>
      </c>
      <c r="D64" s="208" t="s">
        <v>2210</v>
      </c>
    </row>
    <row r="65" spans="1:4" x14ac:dyDescent="0.25">
      <c r="A65" s="208" t="s">
        <v>2188</v>
      </c>
      <c r="B65" s="208" t="s">
        <v>2174</v>
      </c>
      <c r="C65" s="208" t="s">
        <v>2198</v>
      </c>
      <c r="D65" s="208" t="s">
        <v>2211</v>
      </c>
    </row>
    <row r="66" spans="1:4" x14ac:dyDescent="0.25">
      <c r="A66" s="208" t="s">
        <v>2189</v>
      </c>
      <c r="B66" s="208" t="s">
        <v>2175</v>
      </c>
      <c r="C66" s="208" t="s">
        <v>2199</v>
      </c>
      <c r="D66" s="208" t="s">
        <v>2212</v>
      </c>
    </row>
    <row r="67" spans="1:4" x14ac:dyDescent="0.25">
      <c r="A67" s="208" t="s">
        <v>2190</v>
      </c>
      <c r="B67" s="208" t="str">
        <f>PROPER(fuel)&amp;" cost:"</f>
        <v>Natural Gas cost:</v>
      </c>
      <c r="C67" s="208" t="str">
        <f>fuel&amp;" Kosten:"</f>
        <v>natural gas Kosten:</v>
      </c>
      <c r="D67" s="208" t="str">
        <f>"Coût du "&amp;fuel&amp;":"</f>
        <v>Coût du natural gas:</v>
      </c>
    </row>
    <row r="68" spans="1:4" x14ac:dyDescent="0.25">
      <c r="A68" s="208" t="s">
        <v>2191</v>
      </c>
      <c r="B68" s="208" t="s">
        <v>2176</v>
      </c>
      <c r="C68" s="208" t="s">
        <v>2216</v>
      </c>
      <c r="D68" s="208" t="s">
        <v>2213</v>
      </c>
    </row>
    <row r="69" spans="1:4" x14ac:dyDescent="0.25">
      <c r="A69" s="208" t="s">
        <v>2192</v>
      </c>
      <c r="B69" s="208" t="s">
        <v>2177</v>
      </c>
      <c r="C69" s="208" t="s">
        <v>2082</v>
      </c>
      <c r="D69" s="208" t="s">
        <v>2214</v>
      </c>
    </row>
    <row r="70" spans="1:4" x14ac:dyDescent="0.25">
      <c r="A70" s="208" t="s">
        <v>2193</v>
      </c>
      <c r="B70" s="208" t="s">
        <v>2143</v>
      </c>
      <c r="C70" s="208" t="s">
        <v>2137</v>
      </c>
      <c r="D70" s="208" t="s">
        <v>2154</v>
      </c>
    </row>
    <row r="71" spans="1:4" ht="60" x14ac:dyDescent="0.25">
      <c r="A71" s="208" t="s">
        <v>2200</v>
      </c>
      <c r="B71" s="208" t="s">
        <v>2236</v>
      </c>
      <c r="C71" s="208" t="s">
        <v>2238</v>
      </c>
      <c r="D71" s="208" t="s">
        <v>2237</v>
      </c>
    </row>
  </sheetData>
  <phoneticPr fontId="38" type="noConversion"/>
  <pageMargins left="0.7" right="0.7" top="0.78740157499999996" bottom="0.78740157499999996"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3C44B-E577-4B1B-A554-C7219FBC5790}">
  <sheetPr codeName="Tabelle15"/>
  <dimension ref="I17"/>
  <sheetViews>
    <sheetView workbookViewId="0">
      <selection activeCell="I18" sqref="I18"/>
    </sheetView>
  </sheetViews>
  <sheetFormatPr baseColWidth="10" defaultRowHeight="15" x14ac:dyDescent="0.25"/>
  <sheetData>
    <row r="17" spans="9:9" x14ac:dyDescent="0.25">
      <c r="I17">
        <v>654</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B2:R36"/>
  <sheetViews>
    <sheetView topLeftCell="A10" zoomScaleNormal="100" workbookViewId="0">
      <selection activeCell="C1" sqref="C1"/>
    </sheetView>
  </sheetViews>
  <sheetFormatPr baseColWidth="10" defaultColWidth="9.140625" defaultRowHeight="15" x14ac:dyDescent="0.25"/>
  <cols>
    <col min="1" max="1" width="9.140625" style="2"/>
    <col min="2" max="2" width="6.140625" style="2" customWidth="1"/>
    <col min="3" max="3" width="39.140625" style="2" customWidth="1"/>
    <col min="4" max="4" width="19.7109375" style="2" customWidth="1"/>
    <col min="5" max="5" width="9.140625" style="2"/>
    <col min="6" max="6" width="25" style="2" customWidth="1"/>
    <col min="7" max="8" width="9.140625" style="2"/>
    <col min="9" max="9" width="17.85546875" style="2" bestFit="1" customWidth="1"/>
    <col min="10" max="10" width="5.5703125" style="2" bestFit="1" customWidth="1"/>
    <col min="11" max="11" width="11.5703125" style="2" bestFit="1" customWidth="1"/>
    <col min="12" max="12" width="5.5703125" style="2" bestFit="1" customWidth="1"/>
    <col min="13" max="13" width="1.85546875" style="2" bestFit="1" customWidth="1"/>
    <col min="14" max="14" width="8.5703125" style="2" bestFit="1" customWidth="1"/>
    <col min="15" max="15" width="9" style="2" customWidth="1"/>
    <col min="16" max="16" width="2.28515625" style="2" customWidth="1"/>
    <col min="17" max="17" width="7.7109375" style="2" bestFit="1" customWidth="1"/>
    <col min="18" max="18" width="2.140625" style="2" bestFit="1" customWidth="1"/>
    <col min="19" max="16384" width="9.140625" style="2"/>
  </cols>
  <sheetData>
    <row r="2" spans="2:18" x14ac:dyDescent="0.25">
      <c r="B2" s="3"/>
      <c r="C2" s="4"/>
      <c r="D2" s="4"/>
      <c r="E2" s="4"/>
      <c r="F2" s="5"/>
    </row>
    <row r="3" spans="2:18" ht="21" x14ac:dyDescent="0.25">
      <c r="B3" s="30"/>
      <c r="C3" s="271" t="s">
        <v>28</v>
      </c>
      <c r="D3" s="271"/>
      <c r="E3" s="271"/>
      <c r="F3" s="29"/>
    </row>
    <row r="4" spans="2:18" ht="15.75" x14ac:dyDescent="0.25">
      <c r="B4" s="6"/>
      <c r="C4" s="270" t="s">
        <v>29</v>
      </c>
      <c r="D4" s="270"/>
      <c r="E4" s="270"/>
      <c r="F4" s="28"/>
    </row>
    <row r="5" spans="2:18" x14ac:dyDescent="0.25">
      <c r="B5" s="6"/>
      <c r="C5" s="7"/>
      <c r="D5" s="7"/>
      <c r="E5" s="7"/>
      <c r="F5" s="8"/>
    </row>
    <row r="6" spans="2:18" ht="18.75" x14ac:dyDescent="0.3">
      <c r="B6" s="6"/>
      <c r="C6" s="67" t="s">
        <v>0</v>
      </c>
      <c r="D6" s="82" t="e">
        <f>#REF!</f>
        <v>#REF!</v>
      </c>
      <c r="E6" s="68"/>
      <c r="F6" s="36" t="e">
        <f>"T critic: "&amp;[1]!Props1SI(D6,"Tcrit")-273.15&amp;"°C"</f>
        <v>#VALUE!</v>
      </c>
    </row>
    <row r="7" spans="2:18" ht="18.75" x14ac:dyDescent="0.3">
      <c r="B7" s="6"/>
      <c r="C7" s="69" t="s">
        <v>97</v>
      </c>
      <c r="D7" s="83" t="e">
        <f>#REF!</f>
        <v>#REF!</v>
      </c>
      <c r="E7" s="70" t="s">
        <v>9</v>
      </c>
      <c r="F7" s="31" t="e">
        <f>IF(D7&gt;=[1]!Props1SI(D6,"Tcrit")-273.15,"transcritical cycle !","")</f>
        <v>#REF!</v>
      </c>
    </row>
    <row r="8" spans="2:18" ht="18.75" x14ac:dyDescent="0.3">
      <c r="B8" s="6"/>
      <c r="C8" s="69" t="s">
        <v>98</v>
      </c>
      <c r="D8" s="83" t="e">
        <f>#REF!</f>
        <v>#REF!</v>
      </c>
      <c r="E8" s="70" t="s">
        <v>9</v>
      </c>
      <c r="F8" s="31"/>
    </row>
    <row r="9" spans="2:18" ht="18.75" x14ac:dyDescent="0.3">
      <c r="B9" s="6"/>
      <c r="C9" s="69" t="s">
        <v>30</v>
      </c>
      <c r="D9" s="83" t="e">
        <f>#REF!</f>
        <v>#REF!</v>
      </c>
      <c r="E9" s="70" t="s">
        <v>9</v>
      </c>
      <c r="F9" s="8"/>
    </row>
    <row r="10" spans="2:18" ht="18.75" x14ac:dyDescent="0.3">
      <c r="B10" s="6"/>
      <c r="C10" s="69" t="s">
        <v>92</v>
      </c>
      <c r="D10" s="85">
        <v>5</v>
      </c>
      <c r="E10" s="70" t="s">
        <v>48</v>
      </c>
      <c r="F10" s="8"/>
    </row>
    <row r="11" spans="2:18" ht="18.75" x14ac:dyDescent="0.3">
      <c r="B11" s="6"/>
      <c r="C11" s="69" t="s">
        <v>93</v>
      </c>
      <c r="D11" s="85">
        <v>5</v>
      </c>
      <c r="E11" s="70" t="s">
        <v>48</v>
      </c>
      <c r="F11" s="8"/>
      <c r="I11" s="272" t="s">
        <v>697</v>
      </c>
      <c r="J11" s="272"/>
      <c r="K11" s="272"/>
      <c r="L11" s="272"/>
      <c r="M11" s="272"/>
      <c r="N11" s="272"/>
      <c r="O11" s="111" t="e">
        <f>D13*1000/([1]!PropsSI("H","T",D7+273.15,"P",101325,"water") - [1]!PropsSI("H","T",D8+273.15,"P",101325,"water") )</f>
        <v>#REF!</v>
      </c>
      <c r="P11" s="111" t="s">
        <v>11</v>
      </c>
      <c r="Q11" s="111"/>
    </row>
    <row r="12" spans="2:18" ht="18.75" x14ac:dyDescent="0.3">
      <c r="B12" s="6"/>
      <c r="C12" s="69" t="s">
        <v>31</v>
      </c>
      <c r="D12" s="83" t="e">
        <f>#REF!</f>
        <v>#REF!</v>
      </c>
      <c r="E12" s="70" t="s">
        <v>10</v>
      </c>
      <c r="F12" s="8"/>
    </row>
    <row r="13" spans="2:18" ht="18.75" x14ac:dyDescent="0.3">
      <c r="B13" s="6"/>
      <c r="C13" s="71" t="s">
        <v>32</v>
      </c>
      <c r="D13" s="84" t="e">
        <f>#REF!</f>
        <v>#REF!</v>
      </c>
      <c r="E13" s="72" t="s">
        <v>11</v>
      </c>
      <c r="F13" s="8"/>
      <c r="I13" s="14" t="s">
        <v>27</v>
      </c>
      <c r="J13" s="15"/>
      <c r="K13" s="15" t="s">
        <v>18</v>
      </c>
      <c r="L13" s="15"/>
      <c r="M13" s="15"/>
      <c r="N13" s="15"/>
      <c r="O13" s="15"/>
      <c r="P13" s="15"/>
      <c r="Q13" s="15"/>
      <c r="R13" s="16"/>
    </row>
    <row r="14" spans="2:18" ht="18.75" x14ac:dyDescent="0.3">
      <c r="B14" s="6"/>
      <c r="C14" s="12"/>
      <c r="D14" s="12"/>
      <c r="E14" s="12"/>
      <c r="F14" s="8"/>
      <c r="I14" s="17"/>
      <c r="J14" s="18"/>
      <c r="K14" s="18"/>
      <c r="L14" s="18"/>
      <c r="M14" s="18"/>
      <c r="N14" s="18"/>
      <c r="O14" s="92"/>
      <c r="P14" s="18"/>
      <c r="Q14" s="18"/>
      <c r="R14" s="19"/>
    </row>
    <row r="15" spans="2:18" ht="18.75" x14ac:dyDescent="0.3">
      <c r="B15" s="6"/>
      <c r="C15" s="27" t="s">
        <v>12</v>
      </c>
      <c r="D15" s="12"/>
      <c r="E15" s="12"/>
      <c r="F15" s="8"/>
      <c r="I15" s="17"/>
      <c r="J15" s="20" t="s">
        <v>17</v>
      </c>
      <c r="K15" s="32" t="e">
        <f>[1]!PropsSI("P","T",D7+5+273.15,"Q",1,$D$6)</f>
        <v>#VALUE!</v>
      </c>
      <c r="L15" s="22" t="s">
        <v>35</v>
      </c>
      <c r="M15" s="18"/>
      <c r="N15" s="18" t="s">
        <v>105</v>
      </c>
      <c r="O15" s="93" t="e">
        <f>D13*([1]!PropsSI("H","T",D7+273.15,"P",101325,"water") - [1]!PropsSI("H","T",D8+273.15,"P",101325,"water") )/1000</f>
        <v>#REF!</v>
      </c>
      <c r="P15" s="18" t="s">
        <v>13</v>
      </c>
      <c r="Q15" s="18"/>
      <c r="R15" s="19"/>
    </row>
    <row r="16" spans="2:18" ht="18.75" x14ac:dyDescent="0.3">
      <c r="B16" s="6"/>
      <c r="C16" s="12"/>
      <c r="D16" s="12"/>
      <c r="E16" s="12"/>
      <c r="F16" s="8"/>
      <c r="I16" s="17"/>
      <c r="J16" s="20" t="s">
        <v>16</v>
      </c>
      <c r="K16" s="32" t="e">
        <f>[1]!PropsSI("P","T",D9+273.15-5,"Q",1,$D$6)</f>
        <v>#VALUE!</v>
      </c>
      <c r="L16" s="22" t="s">
        <v>35</v>
      </c>
      <c r="M16" s="18"/>
      <c r="N16" s="18" t="s">
        <v>106</v>
      </c>
      <c r="O16" s="95" t="e">
        <f>O15*1000/(K20-K21)</f>
        <v>#REF!</v>
      </c>
      <c r="P16" s="18" t="s">
        <v>11</v>
      </c>
      <c r="Q16" s="18"/>
      <c r="R16" s="19"/>
    </row>
    <row r="17" spans="2:18" ht="18.75" x14ac:dyDescent="0.3">
      <c r="B17" s="6"/>
      <c r="C17" s="67" t="s">
        <v>33</v>
      </c>
      <c r="D17" s="73" t="e">
        <f>(K20-K21)/(K20-K17)</f>
        <v>#VALUE!</v>
      </c>
      <c r="E17" s="74" t="s">
        <v>34</v>
      </c>
      <c r="F17" s="8"/>
      <c r="I17" s="17" t="s">
        <v>19</v>
      </c>
      <c r="J17" s="23" t="s">
        <v>23</v>
      </c>
      <c r="K17" s="33" t="e">
        <f>[1]!PropsSI("H","T",D9-5+273.15+D10,"Q",1,$D$6)</f>
        <v>#VALUE!</v>
      </c>
      <c r="L17" s="22" t="s">
        <v>36</v>
      </c>
      <c r="M17" s="20" t="s">
        <v>24</v>
      </c>
      <c r="N17" s="32" t="e">
        <f>[1]!PropsSI("S","T",D9-5+273.15,"Q",1,$D$6)</f>
        <v>#VALUE!</v>
      </c>
      <c r="O17" s="34" t="s">
        <v>87</v>
      </c>
      <c r="P17" s="20" t="s">
        <v>25</v>
      </c>
      <c r="Q17" s="24" t="e">
        <f>[1]!PropsSI("T","P",K16,"Q",1,$D$6)-273.15</f>
        <v>#VALUE!</v>
      </c>
      <c r="R17" s="22" t="s">
        <v>86</v>
      </c>
    </row>
    <row r="18" spans="2:18" ht="18.75" x14ac:dyDescent="0.3">
      <c r="B18" s="6"/>
      <c r="C18" s="69" t="s">
        <v>14</v>
      </c>
      <c r="D18" s="13" t="e">
        <f>(K20-K21)*O16/1000</f>
        <v>#VALUE!</v>
      </c>
      <c r="E18" s="70" t="s">
        <v>13</v>
      </c>
      <c r="F18" s="8" t="e">
        <f>IF([1]!PhaseSI("T",D7+273.15,"P",101325,"Water")&lt;&gt;[1]!PhaseSI("T",D8+273.15,"P",101325,"Water"),"*steam generation",IF([1]!PhaseSI("T",D7+273.15,"P",101325,"Water")="liquid","*water heating","*steam heating"))</f>
        <v>#VALUE!</v>
      </c>
      <c r="I18" s="17" t="s">
        <v>20</v>
      </c>
      <c r="J18" s="23" t="s">
        <v>23</v>
      </c>
      <c r="K18" s="33" t="e">
        <f>[1]!PropsSI("H","P",K15,"S",N17,$D$6)</f>
        <v>#VALUE!</v>
      </c>
      <c r="L18" s="25" t="s">
        <v>36</v>
      </c>
      <c r="M18" s="23" t="s">
        <v>24</v>
      </c>
      <c r="N18" s="33" t="e">
        <f>N17</f>
        <v>#VALUE!</v>
      </c>
      <c r="O18" s="34" t="s">
        <v>87</v>
      </c>
      <c r="P18" s="23" t="s">
        <v>25</v>
      </c>
      <c r="Q18" s="24" t="e">
        <f>[1]!PropsSI("T","H",K18,"S",N18,$D$6)-273.15</f>
        <v>#VALUE!</v>
      </c>
      <c r="R18" s="25" t="s">
        <v>86</v>
      </c>
    </row>
    <row r="19" spans="2:18" ht="18.75" x14ac:dyDescent="0.3">
      <c r="B19" s="6"/>
      <c r="C19" s="69" t="s">
        <v>104</v>
      </c>
      <c r="D19" s="13" t="e">
        <f>(K17-K22)*O16/1000</f>
        <v>#VALUE!</v>
      </c>
      <c r="E19" s="70" t="s">
        <v>13</v>
      </c>
      <c r="F19" s="8"/>
      <c r="I19" s="17"/>
      <c r="J19" s="23"/>
      <c r="K19" s="33"/>
      <c r="L19" s="25"/>
      <c r="M19" s="23"/>
      <c r="N19" s="33"/>
      <c r="O19" s="34"/>
      <c r="P19" s="23"/>
      <c r="Q19" s="24"/>
      <c r="R19" s="25"/>
    </row>
    <row r="20" spans="2:18" ht="18.75" x14ac:dyDescent="0.3">
      <c r="B20" s="6"/>
      <c r="C20" s="69" t="s">
        <v>15</v>
      </c>
      <c r="D20" s="76" t="e">
        <f>K15/K16</f>
        <v>#VALUE!</v>
      </c>
      <c r="E20" s="70" t="s">
        <v>34</v>
      </c>
      <c r="F20" s="8"/>
      <c r="I20" s="17" t="s">
        <v>49</v>
      </c>
      <c r="J20" s="23" t="s">
        <v>23</v>
      </c>
      <c r="K20" s="33" t="e">
        <f xml:space="preserve"> (K18-K17)/(D12/100) +K17</f>
        <v>#VALUE!</v>
      </c>
      <c r="L20" s="25" t="s">
        <v>36</v>
      </c>
      <c r="M20" s="23" t="s">
        <v>24</v>
      </c>
      <c r="N20" s="33" t="e">
        <f>[1]!PropsSI("S","H",K20,"P",K15,$D$6)</f>
        <v>#VALUE!</v>
      </c>
      <c r="O20" s="34" t="s">
        <v>87</v>
      </c>
      <c r="P20" s="23" t="s">
        <v>25</v>
      </c>
      <c r="Q20" s="24" t="e">
        <f>[1]!PropsSI("T","H",K20,"S",N20,$D$6)-273.15</f>
        <v>#VALUE!</v>
      </c>
      <c r="R20" s="25" t="s">
        <v>86</v>
      </c>
    </row>
    <row r="21" spans="2:18" ht="18.75" x14ac:dyDescent="0.3">
      <c r="B21" s="6"/>
      <c r="C21" s="71" t="s">
        <v>46</v>
      </c>
      <c r="D21" s="75" t="e">
        <f>K15/100000</f>
        <v>#VALUE!</v>
      </c>
      <c r="E21" s="72" t="s">
        <v>47</v>
      </c>
      <c r="F21" s="8"/>
      <c r="I21" s="17" t="s">
        <v>21</v>
      </c>
      <c r="J21" s="23" t="s">
        <v>23</v>
      </c>
      <c r="K21" s="33" t="e">
        <f>[1]!PropsSI("H","T",D8+273.15+5-D11,"P",$K$15,$D$6)</f>
        <v>#VALUE!</v>
      </c>
      <c r="L21" s="25" t="s">
        <v>36</v>
      </c>
      <c r="M21" s="23" t="s">
        <v>25</v>
      </c>
      <c r="N21" s="26" t="e">
        <f>[1]!PropsSI("T","P",K15,"H",K21,$D$6)-273.15</f>
        <v>#VALUE!</v>
      </c>
      <c r="O21" s="25" t="s">
        <v>86</v>
      </c>
      <c r="P21" s="18"/>
      <c r="Q21" s="18"/>
      <c r="R21" s="19"/>
    </row>
    <row r="22" spans="2:18" x14ac:dyDescent="0.25">
      <c r="B22" s="9"/>
      <c r="C22" s="11"/>
      <c r="D22" s="11"/>
      <c r="E22" s="11"/>
      <c r="F22" s="10"/>
      <c r="I22" s="23" t="s">
        <v>22</v>
      </c>
      <c r="J22" s="23" t="s">
        <v>23</v>
      </c>
      <c r="K22" s="33" t="e">
        <f>K21</f>
        <v>#VALUE!</v>
      </c>
      <c r="L22" s="25" t="s">
        <v>36</v>
      </c>
      <c r="M22" s="23" t="s">
        <v>25</v>
      </c>
      <c r="N22" s="26" t="e">
        <f>[1]!PropsSI("T","H",K22,"P",K16,$D$6)-273.15</f>
        <v>#VALUE!</v>
      </c>
      <c r="O22" s="25" t="s">
        <v>86</v>
      </c>
      <c r="P22" s="20" t="s">
        <v>26</v>
      </c>
      <c r="Q22" s="21" t="e">
        <f>[1]!PropsSI("Q","H",K22,"P",K16,$D$6)</f>
        <v>#VALUE!</v>
      </c>
      <c r="R22" s="22" t="s">
        <v>34</v>
      </c>
    </row>
    <row r="24" spans="2:18" x14ac:dyDescent="0.25">
      <c r="B24" s="3"/>
      <c r="C24" s="4"/>
      <c r="D24" s="4"/>
      <c r="E24" s="4"/>
      <c r="F24" s="5"/>
    </row>
    <row r="25" spans="2:18" ht="21" x14ac:dyDescent="0.25">
      <c r="B25" s="6"/>
      <c r="C25" s="271" t="s">
        <v>77</v>
      </c>
      <c r="D25" s="271"/>
      <c r="E25" s="271"/>
      <c r="F25" s="8"/>
    </row>
    <row r="26" spans="2:18" x14ac:dyDescent="0.25">
      <c r="B26" s="6"/>
      <c r="C26" s="57" t="s">
        <v>85</v>
      </c>
      <c r="D26" s="58" t="e">
        <f>D7-D9</f>
        <v>#REF!</v>
      </c>
      <c r="E26" s="7"/>
      <c r="F26" s="8"/>
    </row>
    <row r="27" spans="2:18" x14ac:dyDescent="0.25">
      <c r="B27" s="6"/>
      <c r="C27" s="7"/>
      <c r="D27" s="7"/>
      <c r="E27" s="7"/>
      <c r="F27" s="8"/>
    </row>
    <row r="28" spans="2:18" ht="18.75" x14ac:dyDescent="0.3">
      <c r="B28" s="6"/>
      <c r="C28" s="67" t="s">
        <v>78</v>
      </c>
      <c r="D28" s="77" t="e">
        <f>fits_ref!C6*$D$26^fits_ref!C7</f>
        <v>#REF!</v>
      </c>
      <c r="E28" s="112" t="e">
        <f>ABS(D28-$D$32)/$D$32</f>
        <v>#REF!</v>
      </c>
      <c r="F28" s="8"/>
    </row>
    <row r="29" spans="2:18" ht="18.75" x14ac:dyDescent="0.3">
      <c r="B29" s="6"/>
      <c r="C29" s="69" t="s">
        <v>79</v>
      </c>
      <c r="D29" s="78" t="e">
        <f>fits_ref!E6*(D26+ 2*fits_ref!E7)^fits_ref!E8 * (D7+273.15+fits_ref!E7)^fits_ref!E9</f>
        <v>#REF!</v>
      </c>
      <c r="E29" s="112" t="e">
        <f t="shared" ref="E29:E31" si="0">ABS(D29-$D$32)/$D$32</f>
        <v>#REF!</v>
      </c>
      <c r="F29" s="8"/>
    </row>
    <row r="30" spans="2:18" ht="18.75" x14ac:dyDescent="0.3">
      <c r="B30" s="6"/>
      <c r="C30" s="69" t="s">
        <v>80</v>
      </c>
      <c r="D30" s="78" t="e">
        <f>fits_ref!F6*(D26+2*fits_ref!F7)^fits_ref!F8 *(D7+273.15+fits_ref!F7)^fits_ref!F9</f>
        <v>#REF!</v>
      </c>
      <c r="E30" s="112" t="e">
        <f t="shared" si="0"/>
        <v>#REF!</v>
      </c>
      <c r="F30" s="8"/>
    </row>
    <row r="31" spans="2:18" ht="18.75" x14ac:dyDescent="0.3">
      <c r="B31" s="6"/>
      <c r="C31" s="69" t="s">
        <v>81</v>
      </c>
      <c r="D31" s="78" t="e">
        <f>fits_ref!I6*(D26+2*fits_ref!I9)^fits_ref!I7 * (D7+273.15+fits_ref!I9)^fits_ref!I8</f>
        <v>#REF!</v>
      </c>
      <c r="E31" s="112" t="e">
        <f t="shared" si="0"/>
        <v>#REF!</v>
      </c>
      <c r="F31" s="8"/>
    </row>
    <row r="32" spans="2:18" ht="18.75" x14ac:dyDescent="0.3">
      <c r="B32" s="6"/>
      <c r="C32" s="79" t="s">
        <v>84</v>
      </c>
      <c r="D32" s="80" t="e">
        <f>AVERAGE(D28:D30)</f>
        <v>#REF!</v>
      </c>
      <c r="E32" s="7"/>
      <c r="F32" s="8"/>
    </row>
    <row r="33" spans="2:6" ht="18.75" x14ac:dyDescent="0.3">
      <c r="B33" s="6"/>
      <c r="C33" s="12"/>
      <c r="D33" s="12"/>
      <c r="E33" s="7"/>
      <c r="F33" s="8"/>
    </row>
    <row r="34" spans="2:6" ht="18.75" x14ac:dyDescent="0.3">
      <c r="B34" s="6"/>
      <c r="C34" s="67" t="s">
        <v>82</v>
      </c>
      <c r="D34" s="77" t="e">
        <f>140.4*D26^-0.972</f>
        <v>#REF!</v>
      </c>
      <c r="E34" s="7"/>
      <c r="F34" s="8"/>
    </row>
    <row r="35" spans="2:6" ht="18.75" x14ac:dyDescent="0.3">
      <c r="B35" s="6"/>
      <c r="C35" s="71" t="s">
        <v>83</v>
      </c>
      <c r="D35" s="81" t="e">
        <f>126.24*D26^-0.897</f>
        <v>#REF!</v>
      </c>
      <c r="E35" s="7"/>
      <c r="F35" s="8"/>
    </row>
    <row r="36" spans="2:6" x14ac:dyDescent="0.25">
      <c r="B36" s="9"/>
      <c r="C36" s="11"/>
      <c r="D36" s="11"/>
      <c r="E36" s="11"/>
      <c r="F36" s="10"/>
    </row>
  </sheetData>
  <mergeCells count="4">
    <mergeCell ref="C4:E4"/>
    <mergeCell ref="C3:E3"/>
    <mergeCell ref="C25:E25"/>
    <mergeCell ref="I11:N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3B46-2807-4860-B2E4-0D83937F9219}">
  <sheetPr codeName="Tabelle5"/>
  <dimension ref="B2:AC38"/>
  <sheetViews>
    <sheetView topLeftCell="G8" zoomScaleNormal="100" workbookViewId="0">
      <selection activeCell="C1" sqref="C1"/>
    </sheetView>
  </sheetViews>
  <sheetFormatPr baseColWidth="10" defaultColWidth="9.140625" defaultRowHeight="15" x14ac:dyDescent="0.25"/>
  <cols>
    <col min="1" max="2" width="9.140625" style="2"/>
    <col min="3" max="3" width="33" style="2" customWidth="1"/>
    <col min="4" max="4" width="19.7109375" style="2" customWidth="1"/>
    <col min="5" max="5" width="9.140625" style="2"/>
    <col min="6" max="6" width="30.5703125" style="2" customWidth="1"/>
    <col min="7" max="8" width="9.140625" style="2"/>
    <col min="9" max="9" width="17.85546875" style="2" bestFit="1" customWidth="1"/>
    <col min="10" max="10" width="5.5703125" style="2" bestFit="1" customWidth="1"/>
    <col min="11" max="11" width="11.5703125" style="2" bestFit="1" customWidth="1"/>
    <col min="12" max="12" width="5.5703125" style="2" bestFit="1" customWidth="1"/>
    <col min="13" max="13" width="1.85546875" style="2" bestFit="1" customWidth="1"/>
    <col min="14" max="14" width="8.5703125" style="2" bestFit="1" customWidth="1"/>
    <col min="15" max="15" width="8.7109375" style="2" customWidth="1"/>
    <col min="16" max="16" width="2" style="2" bestFit="1" customWidth="1"/>
    <col min="17" max="17" width="7.7109375" style="2" bestFit="1" customWidth="1"/>
    <col min="18" max="18" width="2.140625" style="2" bestFit="1" customWidth="1"/>
    <col min="19" max="16384" width="9.140625" style="2"/>
  </cols>
  <sheetData>
    <row r="2" spans="2:18" x14ac:dyDescent="0.25">
      <c r="B2" s="3"/>
      <c r="C2" s="4"/>
      <c r="D2" s="4"/>
      <c r="E2" s="4"/>
      <c r="F2" s="5"/>
    </row>
    <row r="3" spans="2:18" ht="21" x14ac:dyDescent="0.25">
      <c r="B3" s="30"/>
      <c r="C3" s="271" t="s">
        <v>28</v>
      </c>
      <c r="D3" s="271"/>
      <c r="E3" s="271"/>
      <c r="F3" s="29"/>
      <c r="K3" s="2" t="str">
        <f>[1]!PhaseSI("H",1000000,"P",101325,"Water")</f>
        <v>twophase</v>
      </c>
    </row>
    <row r="4" spans="2:18" ht="15.75" x14ac:dyDescent="0.25">
      <c r="B4" s="6"/>
      <c r="C4" s="270" t="s">
        <v>29</v>
      </c>
      <c r="D4" s="270"/>
      <c r="E4" s="270"/>
      <c r="F4" s="28"/>
    </row>
    <row r="5" spans="2:18" x14ac:dyDescent="0.25">
      <c r="B5" s="6"/>
      <c r="C5" s="7"/>
      <c r="D5" s="7"/>
      <c r="E5" s="7"/>
      <c r="F5" s="8"/>
    </row>
    <row r="6" spans="2:18" ht="18.75" x14ac:dyDescent="0.3">
      <c r="B6" s="6"/>
      <c r="C6" s="67" t="s">
        <v>0</v>
      </c>
      <c r="D6" s="86" t="e">
        <f>#REF!</f>
        <v>#REF!</v>
      </c>
      <c r="E6" s="68"/>
      <c r="F6" s="36" t="e">
        <f>"T critic: "&amp;[1]!Props1SI(D6,"Tcrit")-273.15&amp;"°C"</f>
        <v>#VALUE!</v>
      </c>
      <c r="G6" s="36" t="e">
        <f>"P critic: "&amp;[1]!Props1SI(D6,"Pcrit")/1000&amp;"Pa"</f>
        <v>#VALUE!</v>
      </c>
    </row>
    <row r="7" spans="2:18" ht="18.75" x14ac:dyDescent="0.3">
      <c r="B7" s="6"/>
      <c r="C7" s="69" t="s">
        <v>96</v>
      </c>
      <c r="D7" s="87" t="e">
        <f>#REF!</f>
        <v>#REF!</v>
      </c>
      <c r="E7" s="70" t="s">
        <v>9</v>
      </c>
      <c r="F7" s="51" t="e">
        <f>IF(D7&gt;=[1]!Props1SI(D6,"Tcrit")-273.15,"","! Not transcritical will give error !")</f>
        <v>#REF!</v>
      </c>
    </row>
    <row r="8" spans="2:18" ht="18.75" x14ac:dyDescent="0.3">
      <c r="B8" s="6"/>
      <c r="C8" s="69" t="s">
        <v>95</v>
      </c>
      <c r="D8" s="87" t="e">
        <f>#REF!</f>
        <v>#REF!</v>
      </c>
      <c r="E8" s="70" t="s">
        <v>9</v>
      </c>
      <c r="F8" s="51"/>
    </row>
    <row r="9" spans="2:18" ht="18.75" x14ac:dyDescent="0.3">
      <c r="B9" s="6"/>
      <c r="C9" s="69" t="s">
        <v>30</v>
      </c>
      <c r="D9" s="87" t="e">
        <f>#REF!</f>
        <v>#REF!</v>
      </c>
      <c r="E9" s="70" t="s">
        <v>9</v>
      </c>
      <c r="F9" s="8"/>
      <c r="K9" s="128"/>
    </row>
    <row r="10" spans="2:18" ht="18.75" x14ac:dyDescent="0.3">
      <c r="B10" s="6"/>
      <c r="C10" s="69" t="s">
        <v>91</v>
      </c>
      <c r="D10" s="85">
        <v>5</v>
      </c>
      <c r="E10" s="70" t="s">
        <v>48</v>
      </c>
      <c r="F10" s="8"/>
    </row>
    <row r="11" spans="2:18" ht="18.75" x14ac:dyDescent="0.3">
      <c r="B11" s="6"/>
      <c r="C11" s="69" t="s">
        <v>94</v>
      </c>
      <c r="D11" s="85">
        <v>5</v>
      </c>
      <c r="E11" s="70" t="s">
        <v>48</v>
      </c>
      <c r="F11" s="8"/>
      <c r="I11" s="272" t="s">
        <v>697</v>
      </c>
      <c r="J11" s="272"/>
      <c r="K11" s="272"/>
      <c r="L11" s="272"/>
      <c r="M11" s="272"/>
      <c r="N11" s="272"/>
      <c r="O11" s="111" t="e">
        <f>D13*1000/([1]!PropsSI("H","T",D7+273.15,"P",101325,"water") - [1]!PropsSI("H","T",D8+273.15,"P",101325,"water") )</f>
        <v>#REF!</v>
      </c>
      <c r="P11" s="111" t="s">
        <v>11</v>
      </c>
      <c r="Q11" s="111"/>
    </row>
    <row r="12" spans="2:18" ht="18.75" x14ac:dyDescent="0.3">
      <c r="B12" s="6"/>
      <c r="C12" s="69" t="s">
        <v>31</v>
      </c>
      <c r="D12" s="87" t="e">
        <f>#REF!</f>
        <v>#REF!</v>
      </c>
      <c r="E12" s="70" t="s">
        <v>10</v>
      </c>
      <c r="F12" s="8"/>
    </row>
    <row r="13" spans="2:18" ht="18.75" x14ac:dyDescent="0.3">
      <c r="B13" s="6"/>
      <c r="C13" s="71" t="s">
        <v>32</v>
      </c>
      <c r="D13" s="88" t="e">
        <f>#REF!</f>
        <v>#REF!</v>
      </c>
      <c r="E13" s="72" t="s">
        <v>11</v>
      </c>
      <c r="F13" s="8"/>
      <c r="I13" s="14" t="s">
        <v>27</v>
      </c>
      <c r="J13" s="15"/>
      <c r="K13" s="15" t="s">
        <v>18</v>
      </c>
      <c r="L13" s="15"/>
      <c r="M13" s="15"/>
      <c r="N13" s="15"/>
      <c r="O13" s="15"/>
      <c r="P13" s="15"/>
      <c r="Q13" s="15"/>
      <c r="R13" s="16"/>
    </row>
    <row r="14" spans="2:18" ht="18.75" x14ac:dyDescent="0.3">
      <c r="B14" s="6"/>
      <c r="C14" s="12"/>
      <c r="D14" s="12"/>
      <c r="E14" s="12"/>
      <c r="F14" s="8"/>
      <c r="I14" s="17"/>
      <c r="J14" s="18"/>
      <c r="K14" s="18"/>
      <c r="L14" s="18"/>
      <c r="M14" s="18"/>
      <c r="N14" s="18"/>
      <c r="O14" s="18"/>
      <c r="P14" s="18"/>
      <c r="Q14" s="18"/>
      <c r="R14" s="19"/>
    </row>
    <row r="15" spans="2:18" ht="18.75" x14ac:dyDescent="0.3">
      <c r="B15" s="6"/>
      <c r="C15" s="27" t="s">
        <v>12</v>
      </c>
      <c r="D15" s="12"/>
      <c r="E15" s="12"/>
      <c r="F15" s="8"/>
      <c r="I15" s="17"/>
      <c r="J15" s="20" t="s">
        <v>17</v>
      </c>
      <c r="K15" s="32" t="e">
        <f>V38</f>
        <v>#VALUE!</v>
      </c>
      <c r="L15" s="22" t="s">
        <v>35</v>
      </c>
      <c r="M15" s="18"/>
      <c r="N15" s="18" t="s">
        <v>105</v>
      </c>
      <c r="O15" s="93" t="e">
        <f>D13*([1]!PropsSI("H","T",D7+273.15,"P",101325,"water") - [1]!PropsSI("H","T",D8+273.15,"P",101325,"water") )/1000</f>
        <v>#REF!</v>
      </c>
      <c r="P15" s="18" t="s">
        <v>13</v>
      </c>
      <c r="Q15" s="18"/>
      <c r="R15" s="19"/>
    </row>
    <row r="16" spans="2:18" ht="18.75" x14ac:dyDescent="0.3">
      <c r="B16" s="6"/>
      <c r="D16" s="12"/>
      <c r="E16" s="12"/>
      <c r="F16" s="8"/>
      <c r="I16" s="17"/>
      <c r="J16" s="20" t="s">
        <v>16</v>
      </c>
      <c r="K16" s="32" t="e">
        <f>[1]!PropsSI("P","T",D9+273.15-5,"Q",0,$D$6)</f>
        <v>#VALUE!</v>
      </c>
      <c r="L16" s="22" t="s">
        <v>35</v>
      </c>
      <c r="M16" s="18"/>
      <c r="N16" s="18" t="s">
        <v>106</v>
      </c>
      <c r="O16" s="94" t="e">
        <f>O15*1000/(K18-K20)</f>
        <v>#REF!</v>
      </c>
      <c r="P16" s="18" t="s">
        <v>11</v>
      </c>
      <c r="Q16" s="18"/>
      <c r="R16" s="19"/>
    </row>
    <row r="17" spans="2:29" ht="18.75" x14ac:dyDescent="0.3">
      <c r="B17" s="6"/>
      <c r="C17" s="67" t="s">
        <v>33</v>
      </c>
      <c r="D17" s="73" t="e">
        <f>(K18-K20)/(K18-K17)</f>
        <v>#VALUE!</v>
      </c>
      <c r="E17" s="74" t="s">
        <v>34</v>
      </c>
      <c r="F17" s="8"/>
      <c r="I17" s="17" t="s">
        <v>19</v>
      </c>
      <c r="J17" s="23" t="s">
        <v>23</v>
      </c>
      <c r="K17" s="33" t="e">
        <f>[1]!PropsSI("H","T",D9-5+273.15+D10,"Q",1,$D$6)</f>
        <v>#VALUE!</v>
      </c>
      <c r="L17" s="22" t="s">
        <v>36</v>
      </c>
      <c r="M17" s="20" t="s">
        <v>24</v>
      </c>
      <c r="N17" s="32" t="e">
        <f>[1]!PropsSI("S","T",D9-5+273.15,"Q",1,$D$6)</f>
        <v>#VALUE!</v>
      </c>
      <c r="O17" s="34" t="s">
        <v>87</v>
      </c>
      <c r="P17" s="20" t="s">
        <v>25</v>
      </c>
      <c r="Q17" s="24" t="e">
        <f>[1]!PropsSI("T","P",K16,"Q",1,$D$6)-273.15-5+D10</f>
        <v>#VALUE!</v>
      </c>
      <c r="R17" s="22" t="s">
        <v>86</v>
      </c>
      <c r="T17" s="38" t="s">
        <v>40</v>
      </c>
      <c r="U17" s="39" t="s">
        <v>45</v>
      </c>
      <c r="V17" s="39" t="s">
        <v>17</v>
      </c>
      <c r="W17" s="39" t="s">
        <v>41</v>
      </c>
      <c r="X17" s="39" t="s">
        <v>42</v>
      </c>
      <c r="Y17" s="39" t="s">
        <v>43</v>
      </c>
      <c r="Z17" s="40" t="s">
        <v>44</v>
      </c>
    </row>
    <row r="18" spans="2:29" ht="18.75" x14ac:dyDescent="0.3">
      <c r="B18" s="6"/>
      <c r="C18" s="69" t="s">
        <v>14</v>
      </c>
      <c r="D18" s="13" t="e">
        <f>(K18-K20)*O16/1000</f>
        <v>#VALUE!</v>
      </c>
      <c r="E18" s="70" t="s">
        <v>13</v>
      </c>
      <c r="F18" s="8" t="e">
        <f>IF([1]!PhaseSI("T",D7+273.15,"P",101325,"Water")&lt;&gt;[1]!PhaseSI("T",D8+273.15,"P",101325,"Water"),"*steam generation",IF([1]!PhaseSI("T",D7+273.15,"P",101325,"Water")="liquid","*water heating","*steam heating"))</f>
        <v>#VALUE!</v>
      </c>
      <c r="I18" s="17" t="s">
        <v>49</v>
      </c>
      <c r="J18" s="23" t="s">
        <v>23</v>
      </c>
      <c r="K18" s="33" t="e">
        <f>X38</f>
        <v>#VALUE!</v>
      </c>
      <c r="L18" s="25" t="s">
        <v>36</v>
      </c>
      <c r="M18" s="23" t="s">
        <v>24</v>
      </c>
      <c r="N18" s="33" t="e">
        <f>[1]!PropsSI("S","H",K18,"P",K15,$D$6)</f>
        <v>#VALUE!</v>
      </c>
      <c r="O18" s="35" t="s">
        <v>87</v>
      </c>
      <c r="P18" s="23" t="s">
        <v>25</v>
      </c>
      <c r="Q18" s="24" t="e">
        <f>[1]!PropsSI("T","H",K18,"S",N18,$D$6)-273.15</f>
        <v>#VALUE!</v>
      </c>
      <c r="R18" s="25" t="s">
        <v>86</v>
      </c>
      <c r="T18" s="41">
        <v>1</v>
      </c>
      <c r="U18" s="42" t="e">
        <f>D7+5</f>
        <v>#REF!</v>
      </c>
      <c r="V18" s="43" t="e">
        <f>[1]!PropsSI("P","T",U18+273.15,"S",N17,$D$6)</f>
        <v>#VALUE!</v>
      </c>
      <c r="W18" s="43" t="e">
        <f>[1]!PropsSI("H","P",V18,"S",N17,$D$6)</f>
        <v>#VALUE!</v>
      </c>
      <c r="X18" s="43" t="e">
        <f xml:space="preserve"> (W18-K17)/($D$12/100) +K17</f>
        <v>#VALUE!</v>
      </c>
      <c r="Y18" s="44" t="e">
        <f>[1]!PropsSI("T","H",X18,"P",V18,$D$6)-273.15</f>
        <v>#VALUE!</v>
      </c>
      <c r="Z18" s="45" t="e">
        <f>IF(Y18&gt;$U$18,V18-ABS(V18-$K$16)/2,V18+ABS(V18-$K$16)/2 )</f>
        <v>#VALUE!</v>
      </c>
      <c r="AB18" s="37"/>
      <c r="AC18" s="37"/>
    </row>
    <row r="19" spans="2:29" ht="18.75" x14ac:dyDescent="0.3">
      <c r="B19" s="6"/>
      <c r="C19" s="69" t="s">
        <v>103</v>
      </c>
      <c r="D19" s="13" t="e">
        <f>(K17-K21)*O16/1000</f>
        <v>#VALUE!</v>
      </c>
      <c r="E19" s="70" t="s">
        <v>13</v>
      </c>
      <c r="F19" s="8"/>
      <c r="I19" s="17"/>
      <c r="J19" s="23"/>
      <c r="K19" s="33"/>
      <c r="L19" s="25"/>
      <c r="M19" s="23"/>
      <c r="N19" s="33"/>
      <c r="O19" s="35"/>
      <c r="P19" s="18"/>
      <c r="Q19" s="92"/>
      <c r="R19" s="19"/>
      <c r="T19" s="41"/>
      <c r="U19" s="42"/>
      <c r="V19" s="43"/>
      <c r="W19" s="43"/>
      <c r="X19" s="43"/>
      <c r="Y19" s="44"/>
      <c r="Z19" s="45"/>
      <c r="AB19" s="37"/>
      <c r="AC19" s="37"/>
    </row>
    <row r="20" spans="2:29" ht="18.75" x14ac:dyDescent="0.3">
      <c r="B20" s="6"/>
      <c r="C20" s="69" t="s">
        <v>15</v>
      </c>
      <c r="D20" s="76" t="e">
        <f>K15/K16</f>
        <v>#VALUE!</v>
      </c>
      <c r="E20" s="70" t="s">
        <v>34</v>
      </c>
      <c r="F20" s="8"/>
      <c r="I20" s="17" t="s">
        <v>21</v>
      </c>
      <c r="J20" s="23" t="s">
        <v>23</v>
      </c>
      <c r="K20" s="33" t="e">
        <f>[1]!PropsSI("H","T",D8+5+273.15-$D$11,"P",$K$15,$D$6)</f>
        <v>#VALUE!</v>
      </c>
      <c r="L20" s="25" t="s">
        <v>36</v>
      </c>
      <c r="M20" s="23" t="s">
        <v>25</v>
      </c>
      <c r="N20" s="26" t="e">
        <f>[1]!PropsSI("T","P",K15,"H",K20,$D$6)-273.15</f>
        <v>#VALUE!</v>
      </c>
      <c r="O20" s="25" t="s">
        <v>86</v>
      </c>
      <c r="P20" s="18"/>
      <c r="Q20" s="18"/>
      <c r="R20" s="19"/>
      <c r="T20" s="41">
        <v>2</v>
      </c>
      <c r="U20" s="42"/>
      <c r="V20" s="43" t="e">
        <f>Z18</f>
        <v>#VALUE!</v>
      </c>
      <c r="W20" s="43" t="e">
        <f>[1]!PropsSI("H","P",V20,"S",$N$17,$D$6)</f>
        <v>#VALUE!</v>
      </c>
      <c r="X20" s="43" t="e">
        <f t="shared" ref="X20:X38" si="0" xml:space="preserve"> (W20-$K$17)/($D$12/100) +W20</f>
        <v>#VALUE!</v>
      </c>
      <c r="Y20" s="44" t="e">
        <f>[1]!PropsSI("T","H",X20,"P",V20,$D$6)-273.15</f>
        <v>#VALUE!</v>
      </c>
      <c r="Z20" s="45" t="e">
        <f>IF(Y20&gt;$U$18,$V20-ABS(V20-$V18)/2,$V20+ABS(V20-$V18)/2 )</f>
        <v>#VALUE!</v>
      </c>
      <c r="AB20" s="37"/>
      <c r="AC20" s="37"/>
    </row>
    <row r="21" spans="2:29" ht="18.75" x14ac:dyDescent="0.3">
      <c r="B21" s="6"/>
      <c r="C21" s="71" t="s">
        <v>46</v>
      </c>
      <c r="D21" s="75" t="e">
        <f>K15/100000</f>
        <v>#VALUE!</v>
      </c>
      <c r="E21" s="72" t="s">
        <v>47</v>
      </c>
      <c r="F21" s="8"/>
      <c r="I21" s="23" t="s">
        <v>22</v>
      </c>
      <c r="J21" s="23" t="s">
        <v>23</v>
      </c>
      <c r="K21" s="33" t="e">
        <f>K20</f>
        <v>#VALUE!</v>
      </c>
      <c r="L21" s="25" t="s">
        <v>36</v>
      </c>
      <c r="M21" s="23" t="s">
        <v>25</v>
      </c>
      <c r="N21" s="26" t="e">
        <f>[1]!PropsSI("T","H",K21,"P",K16,$D$6)-273.15</f>
        <v>#VALUE!</v>
      </c>
      <c r="O21" s="25" t="s">
        <v>86</v>
      </c>
      <c r="P21" s="20" t="s">
        <v>26</v>
      </c>
      <c r="Q21" s="21" t="e">
        <f>[1]!PropsSI("Q","H",K21,"P",K16,$D$6)</f>
        <v>#VALUE!</v>
      </c>
      <c r="R21" s="22" t="e">
        <f ca="1">[2]!REFPROP("Units",,P21,$K$13)</f>
        <v>#NAME?</v>
      </c>
      <c r="T21" s="41">
        <v>3</v>
      </c>
      <c r="U21" s="42"/>
      <c r="V21" s="43" t="e">
        <f t="shared" ref="V21:V32" si="1">Z20</f>
        <v>#VALUE!</v>
      </c>
      <c r="W21" s="43" t="e">
        <f>[1]!PropsSI("H","P",V21,"S",$N$17,$D$6)</f>
        <v>#VALUE!</v>
      </c>
      <c r="X21" s="43" t="e">
        <f t="shared" si="0"/>
        <v>#VALUE!</v>
      </c>
      <c r="Y21" s="44" t="e">
        <f>[1]!PropsSI("T","H",X21,"P",V21,$D$6)-273.15</f>
        <v>#VALUE!</v>
      </c>
      <c r="Z21" s="45" t="e">
        <f t="shared" ref="Z21:Z32" si="2">IF(Y21&gt;$U$18,$V21-ABS(V21-$V20)/2,$V21+ABS(V21-$V20)/2 )</f>
        <v>#VALUE!</v>
      </c>
      <c r="AB21" s="37"/>
      <c r="AC21" s="37"/>
    </row>
    <row r="22" spans="2:29" x14ac:dyDescent="0.25">
      <c r="B22" s="9"/>
      <c r="C22" s="11"/>
      <c r="D22" s="11"/>
      <c r="E22" s="11"/>
      <c r="F22" s="10"/>
      <c r="T22" s="41">
        <v>4</v>
      </c>
      <c r="U22" s="42"/>
      <c r="V22" s="43" t="e">
        <f t="shared" si="1"/>
        <v>#VALUE!</v>
      </c>
      <c r="W22" s="43" t="e">
        <f>[1]!PropsSI("H","P",V22,"S",$N$17,$D$6)</f>
        <v>#VALUE!</v>
      </c>
      <c r="X22" s="43" t="e">
        <f t="shared" si="0"/>
        <v>#VALUE!</v>
      </c>
      <c r="Y22" s="44" t="e">
        <f>[1]!PropsSI("T","H",X22,"P",V22,$D$6)-273.15</f>
        <v>#VALUE!</v>
      </c>
      <c r="Z22" s="45" t="e">
        <f t="shared" si="2"/>
        <v>#VALUE!</v>
      </c>
      <c r="AB22" s="37"/>
      <c r="AC22" s="37"/>
    </row>
    <row r="23" spans="2:29" x14ac:dyDescent="0.25">
      <c r="T23" s="41">
        <v>5</v>
      </c>
      <c r="U23" s="42"/>
      <c r="V23" s="43" t="e">
        <f t="shared" si="1"/>
        <v>#VALUE!</v>
      </c>
      <c r="W23" s="43" t="e">
        <f>[1]!PropsSI("H","P",V23,"S",$N$17,$D$6)</f>
        <v>#VALUE!</v>
      </c>
      <c r="X23" s="43" t="e">
        <f t="shared" si="0"/>
        <v>#VALUE!</v>
      </c>
      <c r="Y23" s="44" t="e">
        <f>[1]!PropsSI("T","H",X23,"P",V23,$D$6)-273.15</f>
        <v>#VALUE!</v>
      </c>
      <c r="Z23" s="45" t="e">
        <f t="shared" si="2"/>
        <v>#VALUE!</v>
      </c>
      <c r="AB23" s="37"/>
      <c r="AC23" s="37"/>
    </row>
    <row r="24" spans="2:29" x14ac:dyDescent="0.25">
      <c r="B24" s="3"/>
      <c r="C24" s="4"/>
      <c r="D24" s="4"/>
      <c r="E24" s="4"/>
      <c r="F24" s="5"/>
      <c r="T24" s="41">
        <v>6</v>
      </c>
      <c r="U24" s="42"/>
      <c r="V24" s="43" t="e">
        <f t="shared" si="1"/>
        <v>#VALUE!</v>
      </c>
      <c r="W24" s="43" t="e">
        <f>[1]!PropsSI("H","P",V24,"S",$N$17,$D$6)</f>
        <v>#VALUE!</v>
      </c>
      <c r="X24" s="43" t="e">
        <f t="shared" si="0"/>
        <v>#VALUE!</v>
      </c>
      <c r="Y24" s="44" t="e">
        <f>[1]!PropsSI("T","H",X24,"P",V24,$D$6)-273.15</f>
        <v>#VALUE!</v>
      </c>
      <c r="Z24" s="45" t="e">
        <f t="shared" si="2"/>
        <v>#VALUE!</v>
      </c>
      <c r="AB24" s="37"/>
      <c r="AC24" s="37"/>
    </row>
    <row r="25" spans="2:29" ht="21" x14ac:dyDescent="0.25">
      <c r="B25" s="6"/>
      <c r="C25" s="271" t="s">
        <v>77</v>
      </c>
      <c r="D25" s="271"/>
      <c r="E25" s="271"/>
      <c r="F25" s="8"/>
      <c r="T25" s="41">
        <v>7</v>
      </c>
      <c r="U25" s="42"/>
      <c r="V25" s="43" t="e">
        <f t="shared" si="1"/>
        <v>#VALUE!</v>
      </c>
      <c r="W25" s="43" t="e">
        <f>[1]!PropsSI("H","P",V25,"S",$N$17,$D$6)</f>
        <v>#VALUE!</v>
      </c>
      <c r="X25" s="43" t="e">
        <f t="shared" si="0"/>
        <v>#VALUE!</v>
      </c>
      <c r="Y25" s="44" t="e">
        <f>[1]!PropsSI("T","H",X25,"P",V25,$D$6)-273.15</f>
        <v>#VALUE!</v>
      </c>
      <c r="Z25" s="45" t="e">
        <f t="shared" si="2"/>
        <v>#VALUE!</v>
      </c>
      <c r="AB25" s="37"/>
      <c r="AC25" s="37"/>
    </row>
    <row r="26" spans="2:29" x14ac:dyDescent="0.25">
      <c r="B26" s="6"/>
      <c r="C26" s="57" t="s">
        <v>1207</v>
      </c>
      <c r="D26" s="58" t="e">
        <f>(((D7+273.15) - (D9+273.15)) - ((D8+273.15) - (D9+273.15)) )/LN(((D7+273.15) - (D9+273.15))/ ((D8+273.15) - (D9+273.15)) )</f>
        <v>#REF!</v>
      </c>
      <c r="E26" s="7" t="s">
        <v>48</v>
      </c>
      <c r="F26" s="273" t="s">
        <v>88</v>
      </c>
      <c r="T26" s="41">
        <v>8</v>
      </c>
      <c r="U26" s="42"/>
      <c r="V26" s="43" t="e">
        <f t="shared" si="1"/>
        <v>#VALUE!</v>
      </c>
      <c r="W26" s="43" t="e">
        <f>[1]!PropsSI("H","P",V26,"S",$N$17,$D$6)</f>
        <v>#VALUE!</v>
      </c>
      <c r="X26" s="43" t="e">
        <f t="shared" si="0"/>
        <v>#VALUE!</v>
      </c>
      <c r="Y26" s="44" t="e">
        <f>[1]!PropsSI("T","H",X26,"P",V26,$D$6)-273.15</f>
        <v>#VALUE!</v>
      </c>
      <c r="Z26" s="45" t="e">
        <f t="shared" si="2"/>
        <v>#VALUE!</v>
      </c>
      <c r="AB26" s="37"/>
      <c r="AC26" s="37"/>
    </row>
    <row r="27" spans="2:29" x14ac:dyDescent="0.25">
      <c r="B27" s="6"/>
      <c r="C27" s="7"/>
      <c r="D27" s="7"/>
      <c r="E27" s="7"/>
      <c r="F27" s="273"/>
      <c r="T27" s="41">
        <v>9</v>
      </c>
      <c r="U27" s="42"/>
      <c r="V27" s="43" t="e">
        <f t="shared" si="1"/>
        <v>#VALUE!</v>
      </c>
      <c r="W27" s="43" t="e">
        <f>[1]!PropsSI("H","P",V27,"S",$N$17,$D$6)</f>
        <v>#VALUE!</v>
      </c>
      <c r="X27" s="43" t="e">
        <f t="shared" si="0"/>
        <v>#VALUE!</v>
      </c>
      <c r="Y27" s="44" t="e">
        <f>[1]!PropsSI("T","H",X27,"P",V27,$D$6)-273.15</f>
        <v>#VALUE!</v>
      </c>
      <c r="Z27" s="45" t="e">
        <f t="shared" si="2"/>
        <v>#VALUE!</v>
      </c>
      <c r="AB27" s="37"/>
      <c r="AC27" s="37"/>
    </row>
    <row r="28" spans="2:29" ht="15.75" x14ac:dyDescent="0.25">
      <c r="B28" s="6"/>
      <c r="C28" s="59" t="s">
        <v>78</v>
      </c>
      <c r="D28" s="60" t="e">
        <f>fits_ref!C6*$D$26^fits_ref!C7</f>
        <v>#REF!</v>
      </c>
      <c r="E28" s="112" t="e">
        <f>ABS(D28-$D$32)/$D$32</f>
        <v>#REF!</v>
      </c>
      <c r="F28" s="8"/>
      <c r="T28" s="41">
        <v>10</v>
      </c>
      <c r="U28" s="42"/>
      <c r="V28" s="43" t="e">
        <f t="shared" si="1"/>
        <v>#VALUE!</v>
      </c>
      <c r="W28" s="43" t="e">
        <f>[1]!PropsSI("H","P",V28,"S",$N$17,$D$6)</f>
        <v>#VALUE!</v>
      </c>
      <c r="X28" s="43" t="e">
        <f t="shared" si="0"/>
        <v>#VALUE!</v>
      </c>
      <c r="Y28" s="44" t="e">
        <f>[1]!PropsSI("T","H",X28,"P",V28,$D$6)-273.15</f>
        <v>#VALUE!</v>
      </c>
      <c r="Z28" s="45" t="e">
        <f t="shared" si="2"/>
        <v>#VALUE!</v>
      </c>
      <c r="AB28" s="37"/>
      <c r="AC28" s="37"/>
    </row>
    <row r="29" spans="2:29" ht="15.75" x14ac:dyDescent="0.25">
      <c r="B29" s="6"/>
      <c r="C29" s="61" t="s">
        <v>79</v>
      </c>
      <c r="D29" s="62" t="e">
        <f>fits_ref!E6*(D26+ 2*fits_ref!E7)^fits_ref!E8 * (D7+273.15+fits_ref!E7)^fits_ref!E9</f>
        <v>#REF!</v>
      </c>
      <c r="E29" s="112" t="e">
        <f>ABS(D29-$D$32)/$D$32</f>
        <v>#REF!</v>
      </c>
      <c r="F29" s="8"/>
      <c r="T29" s="41">
        <v>11</v>
      </c>
      <c r="U29" s="42"/>
      <c r="V29" s="43" t="e">
        <f t="shared" si="1"/>
        <v>#VALUE!</v>
      </c>
      <c r="W29" s="43" t="e">
        <f>[1]!PropsSI("H","P",V29,"S",$N$17,$D$6)</f>
        <v>#VALUE!</v>
      </c>
      <c r="X29" s="43" t="e">
        <f t="shared" si="0"/>
        <v>#VALUE!</v>
      </c>
      <c r="Y29" s="44" t="e">
        <f>[1]!PropsSI("T","H",X29,"P",V29,$D$6)-273.15</f>
        <v>#VALUE!</v>
      </c>
      <c r="Z29" s="45" t="e">
        <f t="shared" si="2"/>
        <v>#VALUE!</v>
      </c>
      <c r="AB29" s="37"/>
      <c r="AC29" s="37"/>
    </row>
    <row r="30" spans="2:29" ht="15.75" x14ac:dyDescent="0.25">
      <c r="B30" s="6"/>
      <c r="C30" s="61" t="s">
        <v>80</v>
      </c>
      <c r="D30" s="62" t="e">
        <f>fits_ref!F6*(D26+2*fits_ref!F7)^fits_ref!F8 *(D7+273.15+fits_ref!F7)^fits_ref!F9</f>
        <v>#REF!</v>
      </c>
      <c r="E30" s="112" t="e">
        <f>ABS(D30-$D$32)/$D$32</f>
        <v>#REF!</v>
      </c>
      <c r="F30" s="8"/>
      <c r="T30" s="41">
        <v>12</v>
      </c>
      <c r="U30" s="42"/>
      <c r="V30" s="43" t="e">
        <f t="shared" si="1"/>
        <v>#VALUE!</v>
      </c>
      <c r="W30" s="43" t="e">
        <f>[1]!PropsSI("H","P",V30,"S",$N$17,$D$6)</f>
        <v>#VALUE!</v>
      </c>
      <c r="X30" s="43" t="e">
        <f t="shared" si="0"/>
        <v>#VALUE!</v>
      </c>
      <c r="Y30" s="44" t="e">
        <f>[1]!PropsSI("T","H",X30,"P",V30,$D$6)-273.15</f>
        <v>#VALUE!</v>
      </c>
      <c r="Z30" s="45" t="e">
        <f t="shared" si="2"/>
        <v>#VALUE!</v>
      </c>
      <c r="AB30" s="37"/>
      <c r="AC30" s="37"/>
    </row>
    <row r="31" spans="2:29" ht="15.75" x14ac:dyDescent="0.25">
      <c r="B31" s="6"/>
      <c r="C31" s="61" t="s">
        <v>81</v>
      </c>
      <c r="D31" s="62" t="e">
        <f>fits_ref!I6*(D26+2*fits_ref!I9)^fits_ref!I7 * (D7+273.15+fits_ref!I9)^fits_ref!I8</f>
        <v>#REF!</v>
      </c>
      <c r="E31" s="112" t="e">
        <f>ABS(D31-$D$32)/$D$32</f>
        <v>#REF!</v>
      </c>
      <c r="F31" s="8"/>
      <c r="T31" s="41">
        <v>13</v>
      </c>
      <c r="U31" s="42"/>
      <c r="V31" s="43" t="e">
        <f t="shared" si="1"/>
        <v>#VALUE!</v>
      </c>
      <c r="W31" s="43" t="e">
        <f>[1]!PropsSI("H","P",V31,"S",$N$17,$D$6)</f>
        <v>#VALUE!</v>
      </c>
      <c r="X31" s="43" t="e">
        <f t="shared" si="0"/>
        <v>#VALUE!</v>
      </c>
      <c r="Y31" s="44" t="e">
        <f>[1]!PropsSI("T","H",X31,"P",V31,$D$6)-273.15</f>
        <v>#VALUE!</v>
      </c>
      <c r="Z31" s="45" t="e">
        <f t="shared" si="2"/>
        <v>#VALUE!</v>
      </c>
      <c r="AB31" s="37"/>
      <c r="AC31" s="37"/>
    </row>
    <row r="32" spans="2:29" x14ac:dyDescent="0.25">
      <c r="B32" s="6"/>
      <c r="C32" s="65" t="s">
        <v>84</v>
      </c>
      <c r="D32" s="66" t="e">
        <f>AVERAGE(D28:D30)</f>
        <v>#REF!</v>
      </c>
      <c r="E32" s="7"/>
      <c r="F32" s="8"/>
      <c r="T32" s="41">
        <v>14</v>
      </c>
      <c r="U32" s="42"/>
      <c r="V32" s="43" t="e">
        <f t="shared" si="1"/>
        <v>#VALUE!</v>
      </c>
      <c r="W32" s="43" t="e">
        <f>[1]!PropsSI("H","P",V32,"S",$N$17,$D$6)</f>
        <v>#VALUE!</v>
      </c>
      <c r="X32" s="43" t="e">
        <f t="shared" si="0"/>
        <v>#VALUE!</v>
      </c>
      <c r="Y32" s="44" t="e">
        <f>[1]!PropsSI("T","H",X32,"P",V32,$D$6)-273.15</f>
        <v>#VALUE!</v>
      </c>
      <c r="Z32" s="45" t="e">
        <f t="shared" si="2"/>
        <v>#VALUE!</v>
      </c>
      <c r="AB32" s="37"/>
      <c r="AC32" s="37"/>
    </row>
    <row r="33" spans="2:26" x14ac:dyDescent="0.25">
      <c r="B33" s="6"/>
      <c r="C33" s="7"/>
      <c r="D33" s="7"/>
      <c r="E33" s="7"/>
      <c r="F33" s="8"/>
      <c r="T33" s="41">
        <v>15</v>
      </c>
      <c r="U33" s="42"/>
      <c r="V33" s="43" t="e">
        <f t="shared" ref="V33:V38" si="3">Z32</f>
        <v>#VALUE!</v>
      </c>
      <c r="W33" s="43" t="e">
        <f>[1]!PropsSI("H","P",V33,"S",$N$17,$D$6)</f>
        <v>#VALUE!</v>
      </c>
      <c r="X33" s="43" t="e">
        <f t="shared" si="0"/>
        <v>#VALUE!</v>
      </c>
      <c r="Y33" s="44" t="e">
        <f>[1]!PropsSI("T","H",X33,"P",V33,$D$6)-273.15</f>
        <v>#VALUE!</v>
      </c>
      <c r="Z33" s="45" t="e">
        <f t="shared" ref="Z33:Z38" si="4">IF(Y33&gt;$U$18,$V33-ABS(V33-$V32)/2,$V33+ABS(V33-$V32)/2 )</f>
        <v>#VALUE!</v>
      </c>
    </row>
    <row r="34" spans="2:26" ht="15.75" x14ac:dyDescent="0.25">
      <c r="B34" s="6"/>
      <c r="C34" s="59" t="s">
        <v>82</v>
      </c>
      <c r="D34" s="60" t="e">
        <f>140.4*D26^-0.972</f>
        <v>#REF!</v>
      </c>
      <c r="E34" s="7"/>
      <c r="F34" s="8"/>
      <c r="T34" s="41">
        <v>16</v>
      </c>
      <c r="U34" s="42"/>
      <c r="V34" s="43" t="e">
        <f t="shared" si="3"/>
        <v>#VALUE!</v>
      </c>
      <c r="W34" s="43" t="e">
        <f>[1]!PropsSI("H","P",V34,"S",$N$17,$D$6)</f>
        <v>#VALUE!</v>
      </c>
      <c r="X34" s="43" t="e">
        <f t="shared" si="0"/>
        <v>#VALUE!</v>
      </c>
      <c r="Y34" s="44" t="e">
        <f>[1]!PropsSI("T","H",X34,"P",V34,$D$6)-273.15</f>
        <v>#VALUE!</v>
      </c>
      <c r="Z34" s="45" t="e">
        <f t="shared" si="4"/>
        <v>#VALUE!</v>
      </c>
    </row>
    <row r="35" spans="2:26" ht="15.75" x14ac:dyDescent="0.25">
      <c r="B35" s="6"/>
      <c r="C35" s="63" t="s">
        <v>83</v>
      </c>
      <c r="D35" s="64" t="e">
        <f>126.24*D26^-0.897</f>
        <v>#REF!</v>
      </c>
      <c r="E35" s="7"/>
      <c r="F35" s="8"/>
      <c r="T35" s="41">
        <v>17</v>
      </c>
      <c r="U35" s="42"/>
      <c r="V35" s="43" t="e">
        <f t="shared" si="3"/>
        <v>#VALUE!</v>
      </c>
      <c r="W35" s="43" t="e">
        <f>[1]!PropsSI("H","P",V35,"S",$N$17,$D$6)</f>
        <v>#VALUE!</v>
      </c>
      <c r="X35" s="43" t="e">
        <f t="shared" si="0"/>
        <v>#VALUE!</v>
      </c>
      <c r="Y35" s="44" t="e">
        <f>[1]!PropsSI("T","H",X35,"P",V35,$D$6)-273.15</f>
        <v>#VALUE!</v>
      </c>
      <c r="Z35" s="45" t="e">
        <f t="shared" si="4"/>
        <v>#VALUE!</v>
      </c>
    </row>
    <row r="36" spans="2:26" x14ac:dyDescent="0.25">
      <c r="B36" s="9"/>
      <c r="C36" s="11"/>
      <c r="D36" s="11"/>
      <c r="E36" s="11"/>
      <c r="F36" s="10"/>
      <c r="T36" s="41">
        <v>18</v>
      </c>
      <c r="U36" s="42"/>
      <c r="V36" s="43" t="e">
        <f t="shared" si="3"/>
        <v>#VALUE!</v>
      </c>
      <c r="W36" s="43" t="e">
        <f>[1]!PropsSI("H","P",V36,"S",$N$17,$D$6)</f>
        <v>#VALUE!</v>
      </c>
      <c r="X36" s="43" t="e">
        <f t="shared" si="0"/>
        <v>#VALUE!</v>
      </c>
      <c r="Y36" s="44" t="e">
        <f>[1]!PropsSI("T","H",X36,"P",V36,$D$6)-273.15</f>
        <v>#VALUE!</v>
      </c>
      <c r="Z36" s="45" t="e">
        <f t="shared" si="4"/>
        <v>#VALUE!</v>
      </c>
    </row>
    <row r="37" spans="2:26" x14ac:dyDescent="0.25">
      <c r="T37" s="41">
        <v>19</v>
      </c>
      <c r="U37" s="42"/>
      <c r="V37" s="43" t="e">
        <f t="shared" si="3"/>
        <v>#VALUE!</v>
      </c>
      <c r="W37" s="43" t="e">
        <f>[1]!PropsSI("H","P",V37,"S",$N$17,$D$6)</f>
        <v>#VALUE!</v>
      </c>
      <c r="X37" s="43" t="e">
        <f t="shared" si="0"/>
        <v>#VALUE!</v>
      </c>
      <c r="Y37" s="44" t="e">
        <f>[1]!PropsSI("T","H",X37,"P",V37,$D$6)-273.15</f>
        <v>#VALUE!</v>
      </c>
      <c r="Z37" s="45" t="e">
        <f t="shared" si="4"/>
        <v>#VALUE!</v>
      </c>
    </row>
    <row r="38" spans="2:26" x14ac:dyDescent="0.25">
      <c r="T38" s="46">
        <v>20</v>
      </c>
      <c r="U38" s="47"/>
      <c r="V38" s="48" t="e">
        <f t="shared" si="3"/>
        <v>#VALUE!</v>
      </c>
      <c r="W38" s="48" t="e">
        <f>[1]!PropsSI("H","P",V38,"S",$N$17,$D$6)</f>
        <v>#VALUE!</v>
      </c>
      <c r="X38" s="48" t="e">
        <f t="shared" si="0"/>
        <v>#VALUE!</v>
      </c>
      <c r="Y38" s="49" t="e">
        <f>[1]!PropsSI("T","H",X38,"P",V38,$D$6)-273.15</f>
        <v>#VALUE!</v>
      </c>
      <c r="Z38" s="50" t="e">
        <f t="shared" si="4"/>
        <v>#VALUE!</v>
      </c>
    </row>
  </sheetData>
  <mergeCells count="5">
    <mergeCell ref="C3:E3"/>
    <mergeCell ref="C4:E4"/>
    <mergeCell ref="C25:E25"/>
    <mergeCell ref="F26:F27"/>
    <mergeCell ref="I11:N1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4 6 6 2 d d c - 6 d 1 d - 4 9 5 0 - b b 0 e - a 9 7 4 7 8 f 1 8 e e 5 "   x m l n s = " h t t p : / / s c h e m a s . m i c r o s o f t . c o m / D a t a M a s h u p " > A A A A A J E D A A B Q S w M E F A A C A A g A R E g Y V T Y 4 + A q o A A A A + Q A A A B I A H A B D b 2 5 m a W c v U G F j a 2 F n Z S 5 4 b W w g o h g A K K A U A A A A A A A A A A A A A A A A A A A A A A A A A A A A h c / B C o I w H A b w V 5 H d 3 e a K S P k 7 o Q 5 d E o I g u o 6 5 d K Q z 3 G y + W 4 c e q V d I K K t b x + / j d / i + x + 0 O 2 d D U w V V 1 V r c m R R G m K F B G t o U 2 Z Y p 6 d w q X K O O w E / I s S h W M 2 N h k s E W K K u c u C S H e e + x n u O 1 K w i i N y D H f 7 m W l G o E + W P / H o T b W C S M V 4 n B 4 j e E M x 3 O 8 Y C z G d L R A p h 5 y b b 6 G j Z M x B f J T w r q v X d 8 p r k y 4 W Q G Z I p D 3 D f 4 E U E s D B B Q A A g A I A E R I G 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E S B h V O T p i d Y c A A A C j A A A A E w A c A E Z v c m 1 1 b G F z L 1 N l Y 3 R p b 2 4 x L m 0 g o h g A K K A U A A A A A A A A A A A A A A A A A A A A A A A A A A A A R c z B C s I w E A T Q e y D / s P T U g i R 6 t X j y C 0 R B Q T y k 7 U o D m 0 S S L V H E f z e S g 3 M Z m I G X c G Q b P B x r b 3 o p p E i z i T g B L h F 2 Q M h S Q M l h Q S I s y 8 W R O p m B M L V n H N Q + e E b P q W 1 m 5 s d W 6 5 y z u l M w H A 1 j U m N w e j K W X r q A 6 u m o 6 b p V J S 2 j K 2 C V 3 + v P 9 T f c p L D + / / d f U E s B A i 0 A F A A C A A g A R E g Y V T Y 4 + A q o A A A A + Q A A A B I A A A A A A A A A A A A A A A A A A A A A A E N v b m Z p Z y 9 Q Y W N r Y W d l L n h t b F B L A Q I t A B Q A A g A I A E R I G F U P y u m r p A A A A O k A A A A T A A A A A A A A A A A A A A A A A P Q A A A B b Q 2 9 u d G V u d F 9 U e X B l c 1 0 u e G 1 s U E s B A i 0 A F A A C A A g A R E g Y V T k 6 Y n W H A A A A o w A A A B M A A A A A A A A A A A A A A A A A 5 Q E A A E Z v c m 1 1 b G F z L 1 N l Y 3 R p b 2 4 x L m 1 Q S w U G A A A A A A M A A w D C A A A A u 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k w 0 A A A A A A A B x D 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Z X V 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S Z W N v d m V y e V R h c m d l d F N o Z W V 0 I i B W Y W x 1 Z T 0 i c 0 N 1 c n J l b m N 5 X 3 J l Z i I g L z 4 8 R W 5 0 c n k g V H l w Z T 0 i U m V j b 3 Z l c n l U Y X J n Z X R D b 2 x 1 b W 4 i I F Z h b H V l P S J s M S I g L z 4 8 R W 5 0 c n k g V H l w Z T 0 i U m V j b 3 Z l c n l U Y X J n Z X R S b 3 c i I F Z h b H V l P S J s M S I g L z 4 8 R W 5 0 c n k g V H l w Z T 0 i R m l s b F R h c m d l d C I g V m F s d W U 9 I n N U Y W J s Z U V 1 c m 9 D d X J y Z W 5 j e S I g L z 4 8 R W 5 0 c n k g V H l w Z T 0 i R m l s b G V k Q 2 9 t c G x l d G V S Z X N 1 b H R U b 1 d v c m t z a G V l d C I g V m F s d W U 9 I m w x I i A v P j x F b n R y e S B U e X B l P S J G a W x s R X J y b 3 J D b 2 R l I i B W Y W x 1 Z T 0 i c 1 V u a 2 5 v d 2 4 i I C 8 + P E V u d H J 5 I F R 5 c G U 9 I k Z p b G x F c n J v c k N v d W 5 0 I i B W Y W x 1 Z T 0 i b D A i I C 8 + P E V u d H J 5 I F R 5 c G U 9 I k Z p b G x M Y X N 0 V X B k Y X R l Z C I g V m F s d W U 9 I m Q y M D I y L T A 4 L T I 0 V D A 3 O j A y O j A 4 L j A y N T U 2 M D V a I i A v P j x F b n R y e S B U e X B l P S J G a W x s Q 2 9 s d W 1 u V H l w Z X M i I F Z h b H V l P S J z Q m d Z R 0 J n W U d C Z 1 l H Q m d Z P S I g L z 4 8 R W 5 0 c n k g V H l w Z T 0 i U X V l c n l J R C I g V m F s d W U 9 I n N k O T l i O T Y y N y 0 w Y T Z i L T R j M T U t Y m U z Z C 1 j Z T B h M 2 Y y M T B k Y z A i I C 8 + P E V u d H J 5 I F R 5 c G U 9 I k Z p b G x U Y X J n Z X R O Y W 1 l Q 3 V z d G 9 t a X p l Z C I g V m F s d W U 9 I m w x I i A v P j x F b n R y e S B U e X B l P S J G a W x s Q 2 9 s d W 1 u T m F t Z X M i I F Z h b H V l P S J z W y Z x d W 9 0 O 3 R p d G x l J n F 1 b 3 Q 7 L C Z x d W 9 0 O 2 x p b m s m c X V v d D s s J n F 1 b 3 Q 7 Z G V z Y 3 J p c H R p b 2 4 m c X V v d D s s J n F 1 b 3 Q 7 c H V i R G F 0 Z S Z x d W 9 0 O y w m c X V v d D t i Y X N l Q 3 V y c m V u Y 3 k m c X V v d D s s J n F 1 b 3 Q 7 Y m F z Z U 5 h b W U m c X V v d D s s J n F 1 b 3 Q 7 d G F y Z 2 V 0 Q 3 V y c m V u Y 3 k m c X V v d D s s J n F 1 b 3 Q 7 d G F y Z 2 V 0 T m F t Z S Z x d W 9 0 O y w m c X V v d D t l e G N o Y W 5 n Z V J h d G U m c X V v d D s s J n F 1 b 3 Q 7 a W 5 2 Z X J z Z V J h d G U m c X V v d D s s J n F 1 b 3 Q 7 a W 5 2 Z X J z Z U R l c 2 N y a X B 0 a W 9 u J n F 1 b 3 Q 7 X S I g L z 4 8 R W 5 0 c n k g V H l w Z T 0 i R m l s b F N 0 Y X R 1 c y I g V m F s d W U 9 I n N D b 2 1 w b G V 0 Z S I g L z 4 8 R W 5 0 c n k g V H l w Z T 0 i R m l s b E N v d W 5 0 I i B W Y W x 1 Z T 0 i b D E 0 O C I g L z 4 8 R W 5 0 c n k g V H l w Z T 0 i U m V s Y X R p b 2 5 z a G l w S W 5 m b 0 N v b n R h a W 5 l c i I g V m F s d W U 9 I n N 7 J n F 1 b 3 Q 7 Y 2 9 s d W 1 u Q 2 9 1 b n Q m c X V v d D s 6 M T E s J n F 1 b 3 Q 7 a 2 V 5 Q 2 9 s d W 1 u T m F t Z X M m c X V v d D s 6 W 1 0 s J n F 1 b 3 Q 7 c X V l c n l S Z W x h d G l v b n N o a X B z J n F 1 b 3 Q 7 O l t d L C Z x d W 9 0 O 2 N v b H V t b k l k Z W 5 0 a X R p Z X M m c X V v d D s 6 W y Z x d W 9 0 O 1 N l Y 3 R p b 2 4 x L 2 V 1 c i 9 p d G V t L n t 0 a X R s Z S w w f S Z x d W 9 0 O y w m c X V v d D t T Z W N 0 a W 9 u M S 9 l d X I v a X R l b S 5 7 b G l u a y w x f S Z x d W 9 0 O y w m c X V v d D t T Z W N 0 a W 9 u M S 9 l d X I v a X R l b S 5 7 Z G V z Y 3 J p c H R p b 2 4 s M n 0 m c X V v d D s s J n F 1 b 3 Q 7 U 2 V j d G l v b j E v Z X V y L 2 l 0 Z W 0 u e 3 B 1 Y k R h d G U s M 3 0 m c X V v d D s s J n F 1 b 3 Q 7 U 2 V j d G l v b j E v Z X V y L 2 l 0 Z W 0 u e 2 J h c 2 V D d X J y Z W 5 j e S w 0 f S Z x d W 9 0 O y w m c X V v d D t T Z W N 0 a W 9 u M S 9 l d X I v a X R l b S 5 7 Y m F z Z U 5 h b W U s N X 0 m c X V v d D s s J n F 1 b 3 Q 7 U 2 V j d G l v b j E v Z X V y L 2 l 0 Z W 0 u e 3 R h c m d l d E N 1 c n J l b m N 5 L D Z 9 J n F 1 b 3 Q 7 L C Z x d W 9 0 O 1 N l Y 3 R p b 2 4 x L 2 V 1 c i 9 p d G V t L n t 0 Y X J n Z X R O Y W 1 l L D d 9 J n F 1 b 3 Q 7 L C Z x d W 9 0 O 1 N l Y 3 R p b 2 4 x L 2 V 1 c i 9 p d G V t L n t l e G N o Y W 5 n Z V J h d G U s O H 0 m c X V v d D s s J n F 1 b 3 Q 7 U 2 V j d G l v b j E v Z X V y L 2 l 0 Z W 0 u e 2 l u d m V y c 2 V S Y X R l L D l 9 J n F 1 b 3 Q 7 L C Z x d W 9 0 O 1 N l Y 3 R p b 2 4 x L 2 V 1 c i 9 p d G V t L n t p b n Z l c n N l R G V z Y 3 J p c H R p b 2 4 s M T B 9 J n F 1 b 3 Q 7 X S w m c X V v d D t D b 2 x 1 b W 5 D b 3 V u d C Z x d W 9 0 O z o x M S w m c X V v d D t L Z X l D b 2 x 1 b W 5 O Y W 1 l c y Z x d W 9 0 O z p b X S w m c X V v d D t D b 2 x 1 b W 5 J Z G V u d G l 0 a W V z J n F 1 b 3 Q 7 O l s m c X V v d D t T Z W N 0 a W 9 u M S 9 l d X I v a X R l b S 5 7 d G l 0 b G U s M H 0 m c X V v d D s s J n F 1 b 3 Q 7 U 2 V j d G l v b j E v Z X V y L 2 l 0 Z W 0 u e 2 x p b m s s M X 0 m c X V v d D s s J n F 1 b 3 Q 7 U 2 V j d G l v b j E v Z X V y L 2 l 0 Z W 0 u e 2 R l c 2 N y a X B 0 a W 9 u L D J 9 J n F 1 b 3 Q 7 L C Z x d W 9 0 O 1 N l Y 3 R p b 2 4 x L 2 V 1 c i 9 p d G V t L n t w d W J E Y X R l L D N 9 J n F 1 b 3 Q 7 L C Z x d W 9 0 O 1 N l Y 3 R p b 2 4 x L 2 V 1 c i 9 p d G V t L n t i Y X N l Q 3 V y c m V u Y 3 k s N H 0 m c X V v d D s s J n F 1 b 3 Q 7 U 2 V j d G l v b j E v Z X V y L 2 l 0 Z W 0 u e 2 J h c 2 V O Y W 1 l L D V 9 J n F 1 b 3 Q 7 L C Z x d W 9 0 O 1 N l Y 3 R p b 2 4 x L 2 V 1 c i 9 p d G V t L n t 0 Y X J n Z X R D d X J y Z W 5 j e S w 2 f S Z x d W 9 0 O y w m c X V v d D t T Z W N 0 a W 9 u M S 9 l d X I v a X R l b S 5 7 d G F y Z 2 V 0 T m F t Z S w 3 f S Z x d W 9 0 O y w m c X V v d D t T Z W N 0 a W 9 u M S 9 l d X I v a X R l b S 5 7 Z X h j a G F u Z 2 V S Y X R l L D h 9 J n F 1 b 3 Q 7 L C Z x d W 9 0 O 1 N l Y 3 R p b 2 4 x L 2 V 1 c i 9 p d G V t L n t p b n Z l c n N l U m F 0 Z S w 5 f S Z x d W 9 0 O y w m c X V v d D t T Z W N 0 a W 9 u M S 9 l d X I v a X R l b S 5 7 a W 5 2 Z X J z Z U R l c 2 N y a X B 0 a W 9 u L D E w f S Z x d W 9 0 O 1 0 s J n F 1 b 3 Q 7 U m V s Y X R p b 2 5 z a G l w S W 5 m b y Z x d W 9 0 O z p b X X 0 i I C 8 + P E V u d H J 5 I F R 5 c G U 9 I k F k Z G V k V G 9 E Y X R h T W 9 k Z W w i I F Z h b H V l P S J s M C I g L z 4 8 L 1 N 0 Y W J s Z U V u d H J p Z X M + P C 9 J d G V t P j x J d G V t P j x J d G V t T G 9 j Y X R p b 2 4 + P E l 0 Z W 1 U e X B l P k Z v c m 1 1 b G E 8 L 0 l 0 Z W 1 U e X B l P j x J d G V t U G F 0 a D 5 T Z W N 0 a W 9 u M S 9 l d X I v U X V l b G x l P C 9 J d G V t U G F 0 a D 4 8 L 0 l 0 Z W 1 M b 2 N h d G l v b j 4 8 U 3 R h Y m x l R W 5 0 c m l l c y A v P j w v S X R l b T 4 8 S X R l b T 4 8 S X R l b U x v Y 2 F 0 a W 9 u P j x J d G V t V H l w Z T 5 G b 3 J t d W x h P C 9 J d G V t V H l w Z T 4 8 S X R l b V B h d G g + U 2 V j d G l v b j E v Z X V y L 2 l 0 Z W 0 8 L 0 l 0 Z W 1 Q Y X R o P j w v S X R l b U x v Y 2 F 0 a W 9 u P j x T d G F i b G V F b n R y a W V z I C 8 + P C 9 J d G V t P j w v S X R l b X M + P C 9 M b 2 N h b F B h Y 2 t h Z 2 V N Z X R h Z G F 0 Y U Z p b G U + F g A A A F B L B Q Y A A A A A A A A A A A A A A A A A A A A A A A D a A A A A A Q A A A N C M n d 8 B F d E R j H o A w E / C l + s B A A A A s G 6 Q W 2 o q C k O V z x 6 w N H f H 7 A A A A A A C A A A A A A A D Z g A A w A A A A B A A A A A f o T 5 P L r k T j 1 7 V r C Q D O x V X A A A A A A S A A A C g A A A A E A A A A A / z w U g m s C f k 0 K Y c p U M 1 u 7 V Q A A A A 3 f l B P h B F Z 3 L L F O x o X z p I 9 d W l 5 x M A W Y M R H a a D p c n t T Z n 3 o u N t 8 5 1 L Z J Y P + o V 4 X k v 7 G o m b a V L p 1 k A j w c u u U Q i 4 m + 8 o R D D 3 y F J z V X t M W Q V 5 N l Y U A A A A g t G h 9 h q G N p l 2 x 9 R M 4 q h O f P p Q O S o = < / D a t a M a s h u p > 
</file>

<file path=customXml/itemProps1.xml><?xml version="1.0" encoding="utf-8"?>
<ds:datastoreItem xmlns:ds="http://schemas.openxmlformats.org/officeDocument/2006/customXml" ds:itemID="{F1B8CB68-7535-4FB8-9DD8-696A9BCEF32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19</vt:i4>
      </vt:variant>
    </vt:vector>
  </HeadingPairs>
  <TitlesOfParts>
    <vt:vector size="35" baseType="lpstr">
      <vt:lpstr>Starting_page</vt:lpstr>
      <vt:lpstr>Process_info</vt:lpstr>
      <vt:lpstr>Finance_info</vt:lpstr>
      <vt:lpstr>Results</vt:lpstr>
      <vt:lpstr>Report</vt:lpstr>
      <vt:lpstr>Translation</vt:lpstr>
      <vt:lpstr>Tabelle1</vt:lpstr>
      <vt:lpstr>COP-subcritical</vt:lpstr>
      <vt:lpstr>COP-transcritical</vt:lpstr>
      <vt:lpstr>refrigerant_ref</vt:lpstr>
      <vt:lpstr>fits_ref</vt:lpstr>
      <vt:lpstr>region_ref</vt:lpstr>
      <vt:lpstr>region_list</vt:lpstr>
      <vt:lpstr>country_ref</vt:lpstr>
      <vt:lpstr>currency_ref</vt:lpstr>
      <vt:lpstr>References</vt:lpstr>
      <vt:lpstr>choice_fuel_de</vt:lpstr>
      <vt:lpstr>choice_fuel_en</vt:lpstr>
      <vt:lpstr>choice_fuel_fr</vt:lpstr>
      <vt:lpstr>choice_system_de</vt:lpstr>
      <vt:lpstr>choice_system_en</vt:lpstr>
      <vt:lpstr>choice_system_fr</vt:lpstr>
      <vt:lpstr>co2_emission</vt:lpstr>
      <vt:lpstr>cur2CHF</vt:lpstr>
      <vt:lpstr>currency</vt:lpstr>
      <vt:lpstr>Report!CurrencyList</vt:lpstr>
      <vt:lpstr>CurrencyList</vt:lpstr>
      <vt:lpstr>fuel</vt:lpstr>
      <vt:lpstr>fuel_en</vt:lpstr>
      <vt:lpstr>lang</vt:lpstr>
      <vt:lpstr>languages</vt:lpstr>
      <vt:lpstr>Report!MenuTableVar</vt:lpstr>
      <vt:lpstr>MenuTableVar</vt:lpstr>
      <vt:lpstr>replacing</vt:lpstr>
      <vt:lpstr>TranslationTable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2023-06-29T07:11:27Z</dcterms:modified>
</cp:coreProperties>
</file>